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0" windowHeight="11760" tabRatio="675" activeTab="6"/>
  </bookViews>
  <sheets>
    <sheet name="SAŽETAK" sheetId="8" r:id="rId1"/>
    <sheet name=" Račun prihoda i rashoda" sheetId="10" r:id="rId2"/>
    <sheet name=" Račun prihoda i rashoda-KN" sheetId="3" state="hidden" r:id="rId3"/>
    <sheet name="POSEBNI DIO" sheetId="9" r:id="rId4"/>
    <sheet name="POSEBNI DIO-KN" sheetId="7" state="hidden" r:id="rId5"/>
    <sheet name="Rashodi-funkc.klas." sheetId="5" r:id="rId6"/>
    <sheet name="Račun financ." sheetId="6" r:id="rId7"/>
    <sheet name="List2" sheetId="2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0" l="1"/>
  <c r="F13" i="10"/>
  <c r="H13" i="10"/>
  <c r="E10" i="5"/>
  <c r="E11" i="5"/>
  <c r="F66" i="9" l="1"/>
  <c r="F67" i="9"/>
  <c r="L93" i="9" l="1"/>
  <c r="K101" i="9"/>
  <c r="H101" i="9"/>
  <c r="P100" i="9"/>
  <c r="O100" i="9"/>
  <c r="N100" i="9"/>
  <c r="L100" i="9"/>
  <c r="J100" i="9"/>
  <c r="K100" i="9" s="1"/>
  <c r="K99" i="9" s="1"/>
  <c r="K98" i="9" s="1"/>
  <c r="H100" i="9"/>
  <c r="F100" i="9"/>
  <c r="P99" i="9"/>
  <c r="O99" i="9"/>
  <c r="N99" i="9"/>
  <c r="L99" i="9"/>
  <c r="L98" i="9" s="1"/>
  <c r="H99" i="9"/>
  <c r="F99" i="9"/>
  <c r="P98" i="9"/>
  <c r="O98" i="9"/>
  <c r="N98" i="9"/>
  <c r="M98" i="9"/>
  <c r="I98" i="9"/>
  <c r="G98" i="9"/>
  <c r="H98" i="9" s="1"/>
  <c r="F98" i="9"/>
  <c r="E98" i="9"/>
  <c r="K8" i="8"/>
  <c r="P83" i="9"/>
  <c r="P79" i="9"/>
  <c r="N83" i="9"/>
  <c r="N47" i="9"/>
  <c r="N46" i="9" s="1"/>
  <c r="N45" i="9" s="1"/>
  <c r="P116" i="9"/>
  <c r="P115" i="9" s="1"/>
  <c r="P114" i="9" s="1"/>
  <c r="O116" i="9"/>
  <c r="N116" i="9"/>
  <c r="N115" i="9" s="1"/>
  <c r="N114" i="9" s="1"/>
  <c r="O115" i="9"/>
  <c r="O114" i="9"/>
  <c r="P111" i="9"/>
  <c r="O111" i="9"/>
  <c r="N111" i="9"/>
  <c r="N107" i="9" s="1"/>
  <c r="P108" i="9"/>
  <c r="O108" i="9"/>
  <c r="N108" i="9"/>
  <c r="P107" i="9"/>
  <c r="O107" i="9"/>
  <c r="P105" i="9"/>
  <c r="P104" i="9" s="1"/>
  <c r="P103" i="9" s="1"/>
  <c r="O105" i="9"/>
  <c r="O104" i="9" s="1"/>
  <c r="O103" i="9" s="1"/>
  <c r="N105" i="9"/>
  <c r="N104" i="9" s="1"/>
  <c r="N103" i="9" s="1"/>
  <c r="P96" i="9"/>
  <c r="P95" i="9" s="1"/>
  <c r="P94" i="9" s="1"/>
  <c r="P93" i="9" s="1"/>
  <c r="O96" i="9"/>
  <c r="O95" i="9" s="1"/>
  <c r="O94" i="9" s="1"/>
  <c r="O93" i="9" s="1"/>
  <c r="N96" i="9"/>
  <c r="N95" i="9"/>
  <c r="N94" i="9" s="1"/>
  <c r="N93" i="9" s="1"/>
  <c r="P91" i="9"/>
  <c r="P90" i="9" s="1"/>
  <c r="P89" i="9" s="1"/>
  <c r="O91" i="9"/>
  <c r="O90" i="9" s="1"/>
  <c r="O89" i="9" s="1"/>
  <c r="N91" i="9"/>
  <c r="N90" i="9" s="1"/>
  <c r="N89" i="9" s="1"/>
  <c r="P86" i="9"/>
  <c r="P85" i="9" s="1"/>
  <c r="O86" i="9"/>
  <c r="N86" i="9"/>
  <c r="O85" i="9"/>
  <c r="N85" i="9"/>
  <c r="O83" i="9"/>
  <c r="O79" i="9"/>
  <c r="O78" i="9" s="1"/>
  <c r="N79" i="9"/>
  <c r="P76" i="9"/>
  <c r="O76" i="9"/>
  <c r="O73" i="9" s="1"/>
  <c r="N76" i="9"/>
  <c r="P74" i="9"/>
  <c r="O74" i="9"/>
  <c r="N74" i="9"/>
  <c r="N73" i="9" s="1"/>
  <c r="P71" i="9"/>
  <c r="P70" i="9" s="1"/>
  <c r="O71" i="9"/>
  <c r="N71" i="9"/>
  <c r="N70" i="9" s="1"/>
  <c r="O70" i="9"/>
  <c r="P66" i="9"/>
  <c r="O66" i="9"/>
  <c r="N66" i="9"/>
  <c r="P65" i="9"/>
  <c r="O65" i="9"/>
  <c r="N65" i="9"/>
  <c r="P63" i="9"/>
  <c r="P62" i="9" s="1"/>
  <c r="P61" i="9" s="1"/>
  <c r="O63" i="9"/>
  <c r="O62" i="9" s="1"/>
  <c r="O61" i="9" s="1"/>
  <c r="N63" i="9"/>
  <c r="N62" i="9" s="1"/>
  <c r="N61" i="9" s="1"/>
  <c r="P58" i="9"/>
  <c r="P57" i="9" s="1"/>
  <c r="P56" i="9" s="1"/>
  <c r="O58" i="9"/>
  <c r="O57" i="9" s="1"/>
  <c r="O56" i="9" s="1"/>
  <c r="N58" i="9"/>
  <c r="N57" i="9"/>
  <c r="N56" i="9" s="1"/>
  <c r="P54" i="9"/>
  <c r="P53" i="9" s="1"/>
  <c r="P52" i="9" s="1"/>
  <c r="O54" i="9"/>
  <c r="O53" i="9" s="1"/>
  <c r="O52" i="9" s="1"/>
  <c r="N54" i="9"/>
  <c r="N53" i="9"/>
  <c r="N52" i="9" s="1"/>
  <c r="P47" i="9"/>
  <c r="P46" i="9" s="1"/>
  <c r="P45" i="9" s="1"/>
  <c r="O47" i="9"/>
  <c r="O46" i="9" s="1"/>
  <c r="O45" i="9" s="1"/>
  <c r="P42" i="9"/>
  <c r="O42" i="9"/>
  <c r="O31" i="9" s="1"/>
  <c r="N42" i="9"/>
  <c r="P40" i="9"/>
  <c r="O40" i="9"/>
  <c r="N40" i="9"/>
  <c r="P38" i="9"/>
  <c r="P37" i="9" s="1"/>
  <c r="O38" i="9"/>
  <c r="N38" i="9"/>
  <c r="O37" i="9"/>
  <c r="N37" i="9"/>
  <c r="P35" i="9"/>
  <c r="O35" i="9"/>
  <c r="N35" i="9"/>
  <c r="N32" i="9" s="1"/>
  <c r="P33" i="9"/>
  <c r="O33" i="9"/>
  <c r="N33" i="9"/>
  <c r="P32" i="9"/>
  <c r="O32" i="9"/>
  <c r="P29" i="9"/>
  <c r="P28" i="9" s="1"/>
  <c r="P27" i="9" s="1"/>
  <c r="O29" i="9"/>
  <c r="N29" i="9"/>
  <c r="N28" i="9" s="1"/>
  <c r="N27" i="9" s="1"/>
  <c r="O28" i="9"/>
  <c r="O27" i="9" s="1"/>
  <c r="P24" i="9"/>
  <c r="P23" i="9" s="1"/>
  <c r="P22" i="9" s="1"/>
  <c r="O24" i="9"/>
  <c r="O23" i="9" s="1"/>
  <c r="O22" i="9" s="1"/>
  <c r="N24" i="9"/>
  <c r="N23" i="9"/>
  <c r="N22" i="9" s="1"/>
  <c r="J53" i="10"/>
  <c r="J52" i="10" s="1"/>
  <c r="J50" i="10"/>
  <c r="J45" i="10"/>
  <c r="J36" i="10"/>
  <c r="J30" i="10"/>
  <c r="J15" i="10"/>
  <c r="J13" i="10"/>
  <c r="I15" i="10"/>
  <c r="I13" i="10"/>
  <c r="K11" i="8"/>
  <c r="J116" i="9"/>
  <c r="J115" i="9" s="1"/>
  <c r="J114" i="9" s="1"/>
  <c r="J111" i="9"/>
  <c r="J108" i="9"/>
  <c r="J107" i="9" s="1"/>
  <c r="J105" i="9"/>
  <c r="J104" i="9" s="1"/>
  <c r="J103" i="9" s="1"/>
  <c r="J96" i="9"/>
  <c r="J95" i="9" s="1"/>
  <c r="J94" i="9" s="1"/>
  <c r="J93" i="9" s="1"/>
  <c r="J91" i="9"/>
  <c r="J90" i="9" s="1"/>
  <c r="J89" i="9" s="1"/>
  <c r="J86" i="9"/>
  <c r="J85" i="9"/>
  <c r="J83" i="9"/>
  <c r="J79" i="9"/>
  <c r="J78" i="9" s="1"/>
  <c r="J76" i="9"/>
  <c r="J74" i="9"/>
  <c r="J73" i="9"/>
  <c r="J71" i="9"/>
  <c r="J70" i="9"/>
  <c r="J69" i="9" s="1"/>
  <c r="J66" i="9"/>
  <c r="J65" i="9" s="1"/>
  <c r="J63" i="9"/>
  <c r="J62" i="9" s="1"/>
  <c r="J61" i="9" s="1"/>
  <c r="J58" i="9"/>
  <c r="J57" i="9" s="1"/>
  <c r="J56" i="9" s="1"/>
  <c r="J54" i="9"/>
  <c r="J53" i="9" s="1"/>
  <c r="J52" i="9" s="1"/>
  <c r="J47" i="9"/>
  <c r="J46" i="9" s="1"/>
  <c r="J45" i="9" s="1"/>
  <c r="J42" i="9"/>
  <c r="J40" i="9"/>
  <c r="J37" i="9" s="1"/>
  <c r="J38" i="9"/>
  <c r="J35" i="9"/>
  <c r="J33" i="9"/>
  <c r="J32" i="9" s="1"/>
  <c r="J29" i="9"/>
  <c r="J28" i="9"/>
  <c r="J27" i="9" s="1"/>
  <c r="J24" i="9"/>
  <c r="J23" i="9" s="1"/>
  <c r="J22" i="9" s="1"/>
  <c r="F53" i="10"/>
  <c r="F52" i="10" s="1"/>
  <c r="F50" i="10"/>
  <c r="F45" i="10"/>
  <c r="F36" i="10"/>
  <c r="F30" i="10"/>
  <c r="F22" i="10"/>
  <c r="F17" i="10"/>
  <c r="F15" i="10"/>
  <c r="F8" i="10"/>
  <c r="G11" i="8"/>
  <c r="G14" i="8" s="1"/>
  <c r="G8" i="8"/>
  <c r="I7" i="10" l="1"/>
  <c r="F7" i="10"/>
  <c r="F29" i="10"/>
  <c r="J99" i="9"/>
  <c r="J98" i="9" s="1"/>
  <c r="P78" i="9"/>
  <c r="O102" i="9"/>
  <c r="J29" i="10"/>
  <c r="K14" i="8"/>
  <c r="J7" i="10"/>
  <c r="N102" i="9"/>
  <c r="P102" i="9"/>
  <c r="N78" i="9"/>
  <c r="N69" i="9" s="1"/>
  <c r="N51" i="9" s="1"/>
  <c r="P73" i="9"/>
  <c r="P69" i="9" s="1"/>
  <c r="P51" i="9" s="1"/>
  <c r="O21" i="9"/>
  <c r="N31" i="9"/>
  <c r="N21" i="9" s="1"/>
  <c r="P31" i="9"/>
  <c r="P21" i="9" s="1"/>
  <c r="O69" i="9"/>
  <c r="O51" i="9" s="1"/>
  <c r="J21" i="9"/>
  <c r="J20" i="9" s="1"/>
  <c r="J51" i="9"/>
  <c r="J102" i="9"/>
  <c r="J31" i="9"/>
  <c r="G24" i="10"/>
  <c r="G23" i="10"/>
  <c r="G21" i="10"/>
  <c r="G20" i="10"/>
  <c r="G19" i="10"/>
  <c r="G18" i="10"/>
  <c r="G16" i="10"/>
  <c r="G14" i="10"/>
  <c r="G13" i="10" s="1"/>
  <c r="G12" i="10"/>
  <c r="G10" i="10"/>
  <c r="G9" i="10"/>
  <c r="P20" i="9" l="1"/>
  <c r="N20" i="9"/>
  <c r="O20" i="9"/>
  <c r="K39" i="9"/>
  <c r="K40" i="9"/>
  <c r="L29" i="9"/>
  <c r="K29" i="9" s="1"/>
  <c r="K23" i="9"/>
  <c r="K24" i="9"/>
  <c r="K25" i="9"/>
  <c r="K26" i="9"/>
  <c r="K30" i="9"/>
  <c r="K32" i="9" l="1"/>
  <c r="B12" i="5"/>
  <c r="B11" i="5"/>
  <c r="F125" i="9"/>
  <c r="F124" i="9" s="1"/>
  <c r="F121" i="9"/>
  <c r="F120" i="9" s="1"/>
  <c r="F119" i="9" s="1"/>
  <c r="F111" i="9"/>
  <c r="F112" i="9"/>
  <c r="F109" i="9"/>
  <c r="F108" i="9" s="1"/>
  <c r="F86" i="9"/>
  <c r="F87" i="9"/>
  <c r="F43" i="9"/>
  <c r="F42" i="9" s="1"/>
  <c r="F29" i="9"/>
  <c r="F28" i="9" s="1"/>
  <c r="F27" i="9" s="1"/>
  <c r="F116" i="9"/>
  <c r="F115" i="9" s="1"/>
  <c r="F114" i="9" s="1"/>
  <c r="F105" i="9"/>
  <c r="F104" i="9" s="1"/>
  <c r="F103" i="9" s="1"/>
  <c r="F96" i="9"/>
  <c r="F95" i="9" s="1"/>
  <c r="F94" i="9" s="1"/>
  <c r="F93" i="9" s="1"/>
  <c r="F91" i="9"/>
  <c r="F90" i="9" s="1"/>
  <c r="F89" i="9" s="1"/>
  <c r="F85" i="9"/>
  <c r="F83" i="9"/>
  <c r="F79" i="9"/>
  <c r="F76" i="9"/>
  <c r="F74" i="9"/>
  <c r="F71" i="9"/>
  <c r="F70" i="9" s="1"/>
  <c r="F65" i="9"/>
  <c r="F63" i="9"/>
  <c r="F62" i="9" s="1"/>
  <c r="F61" i="9" s="1"/>
  <c r="F58" i="9"/>
  <c r="F57" i="9" s="1"/>
  <c r="F56" i="9" s="1"/>
  <c r="F54" i="9"/>
  <c r="F53" i="9" s="1"/>
  <c r="F52" i="9" s="1"/>
  <c r="F47" i="9"/>
  <c r="F46" i="9" s="1"/>
  <c r="F45" i="9" s="1"/>
  <c r="F40" i="9"/>
  <c r="F38" i="9"/>
  <c r="F35" i="9"/>
  <c r="F33" i="9"/>
  <c r="F24" i="9"/>
  <c r="F23" i="9" s="1"/>
  <c r="F22" i="9" s="1"/>
  <c r="H22" i="10"/>
  <c r="G22" i="10" s="1"/>
  <c r="H17" i="10"/>
  <c r="G17" i="10" s="1"/>
  <c r="H15" i="10"/>
  <c r="G15" i="10" s="1"/>
  <c r="H8" i="10"/>
  <c r="G8" i="10" l="1"/>
  <c r="H7" i="10"/>
  <c r="F118" i="9"/>
  <c r="F107" i="9"/>
  <c r="F102" i="9" s="1"/>
  <c r="F78" i="9"/>
  <c r="F73" i="9"/>
  <c r="F37" i="9"/>
  <c r="F32" i="9"/>
  <c r="F69" i="9" l="1"/>
  <c r="F51" i="9" s="1"/>
  <c r="F31" i="9"/>
  <c r="F21" i="9" s="1"/>
  <c r="A1" i="6"/>
  <c r="A1" i="5"/>
  <c r="A1" i="9"/>
  <c r="A1" i="10"/>
  <c r="E93" i="9"/>
  <c r="L115" i="9"/>
  <c r="L116" i="9"/>
  <c r="L108" i="9"/>
  <c r="L105" i="9"/>
  <c r="L104" i="9" s="1"/>
  <c r="L103" i="9" s="1"/>
  <c r="L96" i="9"/>
  <c r="L95" i="9" s="1"/>
  <c r="L94" i="9" s="1"/>
  <c r="L90" i="9"/>
  <c r="L89" i="9" s="1"/>
  <c r="L91" i="9"/>
  <c r="K97" i="9"/>
  <c r="H97" i="9"/>
  <c r="K96" i="9"/>
  <c r="K95" i="9" s="1"/>
  <c r="K94" i="9" s="1"/>
  <c r="K93" i="9" s="1"/>
  <c r="H96" i="9"/>
  <c r="H95" i="9"/>
  <c r="M94" i="9"/>
  <c r="M93" i="9" s="1"/>
  <c r="I94" i="9"/>
  <c r="I93" i="9" s="1"/>
  <c r="G94" i="9"/>
  <c r="G93" i="9" s="1"/>
  <c r="H93" i="9" s="1"/>
  <c r="E94" i="9"/>
  <c r="L83" i="9"/>
  <c r="L79" i="9"/>
  <c r="L76" i="9"/>
  <c r="L74" i="9"/>
  <c r="G69" i="9"/>
  <c r="I69" i="9"/>
  <c r="L71" i="9"/>
  <c r="L70" i="9" s="1"/>
  <c r="K72" i="9"/>
  <c r="H72" i="9"/>
  <c r="H71" i="9"/>
  <c r="H70" i="9"/>
  <c r="H69" i="9" s="1"/>
  <c r="K64" i="9"/>
  <c r="H64" i="9"/>
  <c r="L63" i="9"/>
  <c r="K63" i="9" s="1"/>
  <c r="H63" i="9"/>
  <c r="H62" i="9"/>
  <c r="M61" i="9"/>
  <c r="I61" i="9"/>
  <c r="H61" i="9"/>
  <c r="G61" i="9"/>
  <c r="E61" i="9"/>
  <c r="L58" i="9"/>
  <c r="L57" i="9" s="1"/>
  <c r="L56" i="9" s="1"/>
  <c r="L53" i="9"/>
  <c r="L52" i="9" s="1"/>
  <c r="L54" i="9"/>
  <c r="L47" i="9"/>
  <c r="L46" i="9" s="1"/>
  <c r="L45" i="9" s="1"/>
  <c r="L40" i="9"/>
  <c r="L38" i="9"/>
  <c r="L32" i="9"/>
  <c r="L35" i="9"/>
  <c r="L33" i="9"/>
  <c r="L28" i="9"/>
  <c r="L24" i="9"/>
  <c r="L23" i="9" s="1"/>
  <c r="L22" i="9" s="1"/>
  <c r="K22" i="9" s="1"/>
  <c r="L114" i="9"/>
  <c r="L111" i="9"/>
  <c r="L86" i="9"/>
  <c r="L85" i="9"/>
  <c r="L66" i="9"/>
  <c r="L65" i="9"/>
  <c r="L42" i="9"/>
  <c r="G59" i="10"/>
  <c r="G48" i="10"/>
  <c r="G43" i="10"/>
  <c r="G44" i="10"/>
  <c r="G42" i="10"/>
  <c r="G41" i="10"/>
  <c r="G40" i="10"/>
  <c r="G32" i="10"/>
  <c r="G33" i="10"/>
  <c r="G34" i="10"/>
  <c r="G35" i="10"/>
  <c r="I30" i="10"/>
  <c r="E30" i="10"/>
  <c r="I36" i="10"/>
  <c r="E36" i="10"/>
  <c r="I45" i="10"/>
  <c r="E45" i="10"/>
  <c r="I53" i="10"/>
  <c r="I52" i="10" s="1"/>
  <c r="E53" i="10"/>
  <c r="E52" i="10" s="1"/>
  <c r="H53" i="10"/>
  <c r="H52" i="10" s="1"/>
  <c r="H36" i="10"/>
  <c r="G60" i="10"/>
  <c r="G58" i="10"/>
  <c r="G51" i="10"/>
  <c r="G50" i="10" s="1"/>
  <c r="H50" i="10"/>
  <c r="I50" i="10"/>
  <c r="E50" i="10"/>
  <c r="H30" i="10"/>
  <c r="H29" i="10" l="1"/>
  <c r="E29" i="10"/>
  <c r="H94" i="9"/>
  <c r="L73" i="9"/>
  <c r="L37" i="9"/>
  <c r="K38" i="9"/>
  <c r="I29" i="10"/>
  <c r="L27" i="9"/>
  <c r="K27" i="9" s="1"/>
  <c r="K28" i="9"/>
  <c r="F20" i="9"/>
  <c r="K71" i="9"/>
  <c r="L107" i="9"/>
  <c r="L102" i="9"/>
  <c r="K70" i="9"/>
  <c r="L78" i="9"/>
  <c r="L69" i="9" s="1"/>
  <c r="L62" i="9"/>
  <c r="K62" i="9" l="1"/>
  <c r="L61" i="9"/>
  <c r="E23" i="10"/>
  <c r="E8" i="10"/>
  <c r="E20" i="10"/>
  <c r="E17" i="10" s="1"/>
  <c r="I11" i="8"/>
  <c r="I8" i="8"/>
  <c r="D11" i="5"/>
  <c r="D12" i="5"/>
  <c r="D10" i="5"/>
  <c r="K117" i="9"/>
  <c r="K116" i="9"/>
  <c r="K115" i="9"/>
  <c r="K114" i="9"/>
  <c r="E7" i="10" l="1"/>
  <c r="K61" i="9"/>
  <c r="L51" i="9"/>
  <c r="I14" i="8"/>
  <c r="H23" i="9"/>
  <c r="H24" i="9"/>
  <c r="H25" i="9"/>
  <c r="H26" i="9"/>
  <c r="H28" i="9"/>
  <c r="H29" i="9"/>
  <c r="H30" i="9"/>
  <c r="H32" i="9"/>
  <c r="H33" i="9"/>
  <c r="H34" i="9"/>
  <c r="H37" i="9"/>
  <c r="H41" i="9"/>
  <c r="H42" i="9"/>
  <c r="H43" i="9"/>
  <c r="H44" i="9"/>
  <c r="H46" i="9"/>
  <c r="H47" i="9"/>
  <c r="H48" i="9"/>
  <c r="H49" i="9"/>
  <c r="H50" i="9"/>
  <c r="H53" i="9"/>
  <c r="H54" i="9"/>
  <c r="H55" i="9"/>
  <c r="H57" i="9"/>
  <c r="H58" i="9"/>
  <c r="H59" i="9"/>
  <c r="H60" i="9"/>
  <c r="H66" i="9"/>
  <c r="H67" i="9"/>
  <c r="H68" i="9"/>
  <c r="H73" i="9"/>
  <c r="H74" i="9"/>
  <c r="H75" i="9"/>
  <c r="H77" i="9"/>
  <c r="H78" i="9"/>
  <c r="H79" i="9"/>
  <c r="H80" i="9"/>
  <c r="H81" i="9"/>
  <c r="H82" i="9"/>
  <c r="H84" i="9"/>
  <c r="H86" i="9"/>
  <c r="H87" i="9"/>
  <c r="H88" i="9"/>
  <c r="H90" i="9"/>
  <c r="H91" i="9"/>
  <c r="H92" i="9"/>
  <c r="H102" i="9"/>
  <c r="H103" i="9"/>
  <c r="H104" i="9"/>
  <c r="H105" i="9"/>
  <c r="H106" i="9"/>
  <c r="H108" i="9"/>
  <c r="H109" i="9"/>
  <c r="H110" i="9"/>
  <c r="H111" i="9"/>
  <c r="H112" i="9"/>
  <c r="H113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G54" i="10" l="1"/>
  <c r="G47" i="10"/>
  <c r="G46" i="10"/>
  <c r="G45" i="10" s="1"/>
  <c r="G38" i="10"/>
  <c r="G31" i="10"/>
  <c r="G30" i="10" s="1"/>
  <c r="H10" i="8"/>
  <c r="G55" i="10" l="1"/>
  <c r="G56" i="10"/>
  <c r="G39" i="10"/>
  <c r="G37" i="10"/>
  <c r="H9" i="8"/>
  <c r="H13" i="8"/>
  <c r="M114" i="9"/>
  <c r="E114" i="9"/>
  <c r="G114" i="9" s="1"/>
  <c r="G53" i="10" l="1"/>
  <c r="G52" i="10" s="1"/>
  <c r="G36" i="10"/>
  <c r="G29" i="10" s="1"/>
  <c r="H114" i="9"/>
  <c r="I114" i="9" s="1"/>
  <c r="J8" i="8"/>
  <c r="H12" i="8"/>
  <c r="H11" i="8"/>
  <c r="F11" i="8"/>
  <c r="F8" i="8"/>
  <c r="J11" i="8" l="1"/>
  <c r="J14" i="8" s="1"/>
  <c r="H14" i="8"/>
  <c r="F14" i="8"/>
  <c r="F34" i="3"/>
  <c r="G34" i="3"/>
  <c r="H34" i="3"/>
  <c r="I34" i="3"/>
  <c r="E34" i="3"/>
  <c r="F20" i="3"/>
  <c r="G20" i="3"/>
  <c r="H20" i="3"/>
  <c r="I20" i="3"/>
  <c r="E20" i="3"/>
  <c r="I32" i="3"/>
  <c r="I29" i="3"/>
  <c r="I25" i="3"/>
  <c r="I27" i="3"/>
  <c r="H32" i="3"/>
  <c r="H29" i="3"/>
  <c r="H27" i="3"/>
  <c r="H25" i="3"/>
  <c r="G32" i="3"/>
  <c r="G29" i="3"/>
  <c r="G27" i="3"/>
  <c r="G25" i="3"/>
  <c r="F32" i="3"/>
  <c r="F29" i="3"/>
  <c r="F27" i="3"/>
  <c r="F25" i="3"/>
  <c r="E32" i="3"/>
  <c r="E29" i="3"/>
  <c r="E27" i="3"/>
  <c r="E25" i="3"/>
  <c r="F18" i="3"/>
  <c r="I15" i="3"/>
  <c r="H15" i="3"/>
  <c r="G15" i="3"/>
  <c r="F15" i="3"/>
  <c r="E15" i="3"/>
  <c r="I13" i="3"/>
  <c r="H13" i="3"/>
  <c r="G13" i="3"/>
  <c r="F13" i="3"/>
  <c r="E13" i="3"/>
  <c r="I11" i="3"/>
  <c r="H11" i="3"/>
  <c r="G11" i="3"/>
  <c r="F11" i="3"/>
  <c r="E11" i="3"/>
  <c r="J22" i="10"/>
  <c r="I22" i="10"/>
  <c r="E22" i="10"/>
  <c r="M107" i="9"/>
  <c r="I107" i="9"/>
  <c r="G107" i="9"/>
  <c r="H107" i="9" s="1"/>
  <c r="E107" i="9"/>
  <c r="E102" i="9" s="1"/>
  <c r="M89" i="9"/>
  <c r="I89" i="9"/>
  <c r="G89" i="9"/>
  <c r="H89" i="9" s="1"/>
  <c r="E89" i="9"/>
  <c r="M85" i="9"/>
  <c r="I85" i="9"/>
  <c r="G85" i="9"/>
  <c r="H85" i="9" s="1"/>
  <c r="E85" i="9"/>
  <c r="M83" i="9"/>
  <c r="I83" i="9"/>
  <c r="G83" i="9"/>
  <c r="H83" i="9" s="1"/>
  <c r="E83" i="9"/>
  <c r="M76" i="9"/>
  <c r="I76" i="9"/>
  <c r="G76" i="9"/>
  <c r="H76" i="9" s="1"/>
  <c r="E76" i="9"/>
  <c r="M69" i="9"/>
  <c r="E69" i="9"/>
  <c r="M65" i="9"/>
  <c r="I65" i="9"/>
  <c r="G65" i="9"/>
  <c r="H65" i="9" s="1"/>
  <c r="E65" i="9"/>
  <c r="M56" i="9"/>
  <c r="I56" i="9"/>
  <c r="G56" i="9"/>
  <c r="H56" i="9" s="1"/>
  <c r="E56" i="9"/>
  <c r="M52" i="9"/>
  <c r="I52" i="9"/>
  <c r="G52" i="9"/>
  <c r="H52" i="9" s="1"/>
  <c r="E52" i="9"/>
  <c r="M45" i="9"/>
  <c r="I45" i="9"/>
  <c r="G45" i="9"/>
  <c r="H45" i="9" s="1"/>
  <c r="E45" i="9"/>
  <c r="M40" i="9"/>
  <c r="I40" i="9"/>
  <c r="G40" i="9"/>
  <c r="H40" i="9" s="1"/>
  <c r="E40" i="9"/>
  <c r="I31" i="9"/>
  <c r="G31" i="9"/>
  <c r="H31" i="9" s="1"/>
  <c r="E31" i="9"/>
  <c r="M27" i="9"/>
  <c r="I27" i="9"/>
  <c r="G27" i="9"/>
  <c r="H27" i="9" s="1"/>
  <c r="E27" i="9"/>
  <c r="M22" i="9"/>
  <c r="I22" i="9"/>
  <c r="G22" i="9"/>
  <c r="H22" i="9" s="1"/>
  <c r="E22" i="9"/>
  <c r="I72" i="7"/>
  <c r="H72" i="7"/>
  <c r="G72" i="7"/>
  <c r="F72" i="7"/>
  <c r="E72" i="7"/>
  <c r="I65" i="7"/>
  <c r="H65" i="7"/>
  <c r="G65" i="7"/>
  <c r="F65" i="7"/>
  <c r="E65" i="7"/>
  <c r="I36" i="7"/>
  <c r="F36" i="7"/>
  <c r="G36" i="7"/>
  <c r="H36" i="7"/>
  <c r="E36" i="7"/>
  <c r="G7" i="10" l="1"/>
  <c r="G21" i="9"/>
  <c r="H21" i="9" s="1"/>
  <c r="E21" i="9"/>
  <c r="I21" i="9"/>
  <c r="I51" i="9"/>
  <c r="G51" i="9"/>
  <c r="H51" i="9" s="1"/>
  <c r="E51" i="9"/>
  <c r="M51" i="9"/>
  <c r="F87" i="7"/>
  <c r="G87" i="7"/>
  <c r="H87" i="7"/>
  <c r="I87" i="7"/>
  <c r="E87" i="7"/>
  <c r="E82" i="7"/>
  <c r="F78" i="7"/>
  <c r="G78" i="7"/>
  <c r="H78" i="7"/>
  <c r="I78" i="7"/>
  <c r="E78" i="7"/>
  <c r="F74" i="7"/>
  <c r="G74" i="7"/>
  <c r="H74" i="7"/>
  <c r="I74" i="7"/>
  <c r="E74" i="7"/>
  <c r="F61" i="7"/>
  <c r="G61" i="7"/>
  <c r="H61" i="7"/>
  <c r="I61" i="7"/>
  <c r="E61" i="7"/>
  <c r="F57" i="7"/>
  <c r="G57" i="7"/>
  <c r="H57" i="7"/>
  <c r="H47" i="7" s="1"/>
  <c r="I57" i="7"/>
  <c r="E57" i="7"/>
  <c r="F52" i="7"/>
  <c r="G52" i="7"/>
  <c r="H52" i="7"/>
  <c r="I52" i="7"/>
  <c r="E52" i="7"/>
  <c r="F48" i="7"/>
  <c r="F47" i="7" s="1"/>
  <c r="G48" i="7"/>
  <c r="H48" i="7"/>
  <c r="I48" i="7"/>
  <c r="E48" i="7"/>
  <c r="F41" i="7"/>
  <c r="G41" i="7"/>
  <c r="H41" i="7"/>
  <c r="I41" i="7"/>
  <c r="E41" i="7"/>
  <c r="F31" i="7"/>
  <c r="F21" i="7" s="1"/>
  <c r="G31" i="7"/>
  <c r="H31" i="7"/>
  <c r="I31" i="7"/>
  <c r="E31" i="7"/>
  <c r="F27" i="7"/>
  <c r="G27" i="7"/>
  <c r="H27" i="7"/>
  <c r="I27" i="7"/>
  <c r="E27" i="7"/>
  <c r="F22" i="7"/>
  <c r="G22" i="7"/>
  <c r="H22" i="7"/>
  <c r="I22" i="7"/>
  <c r="E22" i="7"/>
  <c r="G21" i="7"/>
  <c r="I31" i="3"/>
  <c r="I24" i="3"/>
  <c r="F24" i="3"/>
  <c r="F31" i="3"/>
  <c r="G31" i="3"/>
  <c r="H31" i="3"/>
  <c r="G24" i="3"/>
  <c r="H24" i="3"/>
  <c r="E31" i="3"/>
  <c r="E24" i="3"/>
  <c r="I10" i="3"/>
  <c r="H10" i="3"/>
  <c r="G10" i="3"/>
  <c r="F17" i="3"/>
  <c r="G17" i="3"/>
  <c r="H17" i="3"/>
  <c r="I17" i="3"/>
  <c r="E17" i="3"/>
  <c r="F10" i="3"/>
  <c r="E10" i="3"/>
  <c r="G11" i="5"/>
  <c r="G10" i="5" s="1"/>
  <c r="F11" i="5"/>
  <c r="F10" i="5" s="1"/>
  <c r="I20" i="9" l="1"/>
  <c r="G20" i="9"/>
  <c r="H20" i="9" s="1"/>
  <c r="E20" i="9"/>
  <c r="H21" i="7"/>
  <c r="F20" i="7"/>
  <c r="G47" i="7"/>
  <c r="G20" i="7" s="1"/>
  <c r="I47" i="7"/>
  <c r="E47" i="7"/>
  <c r="H20" i="7"/>
  <c r="E21" i="7"/>
  <c r="I21" i="7"/>
  <c r="I20" i="7" l="1"/>
  <c r="E20" i="7"/>
  <c r="F27" i="8"/>
  <c r="H8" i="8"/>
  <c r="K112" i="9"/>
  <c r="K51" i="9"/>
  <c r="K88" i="9"/>
  <c r="K52" i="9"/>
  <c r="K34" i="9"/>
  <c r="K121" i="9"/>
  <c r="K82" i="9"/>
  <c r="K125" i="9"/>
  <c r="K83" i="9"/>
  <c r="K55" i="9"/>
  <c r="K119" i="9"/>
  <c r="K126" i="9"/>
  <c r="K50" i="9"/>
  <c r="K75" i="9"/>
  <c r="K42" i="9"/>
  <c r="K59" i="9"/>
  <c r="K66" i="9"/>
  <c r="K68" i="9"/>
  <c r="K118" i="9"/>
  <c r="K49" i="9"/>
  <c r="K123" i="9"/>
  <c r="K86" i="9"/>
  <c r="K104" i="9"/>
  <c r="K43" i="9"/>
  <c r="K80" i="9"/>
  <c r="K92" i="9"/>
  <c r="K87" i="9"/>
  <c r="K74" i="9"/>
  <c r="K57" i="9"/>
  <c r="K120" i="9"/>
  <c r="K81" i="9"/>
  <c r="K122" i="9"/>
  <c r="K108" i="9"/>
  <c r="K105" i="9"/>
  <c r="K85" i="9"/>
  <c r="K47" i="9"/>
  <c r="K73" i="9"/>
  <c r="K46" i="9"/>
  <c r="K56" i="9"/>
  <c r="K106" i="9"/>
  <c r="K41" i="9"/>
  <c r="K67" i="9"/>
  <c r="K76" i="9"/>
  <c r="K89" i="9"/>
  <c r="K110" i="9"/>
  <c r="K65" i="9"/>
  <c r="K111" i="9"/>
  <c r="K53" i="9"/>
  <c r="K127" i="9"/>
  <c r="K84" i="9"/>
  <c r="K60" i="9"/>
  <c r="K91" i="9"/>
  <c r="K58" i="9"/>
  <c r="K48" i="9"/>
  <c r="K45" i="9"/>
  <c r="K102" i="9"/>
  <c r="K33" i="9"/>
  <c r="K103" i="9"/>
  <c r="K44" i="9"/>
  <c r="K113" i="9"/>
  <c r="K77" i="9"/>
  <c r="K90" i="9"/>
  <c r="K78" i="9"/>
  <c r="K109" i="9"/>
  <c r="K79" i="9"/>
  <c r="K107" i="9"/>
  <c r="K54" i="9"/>
  <c r="K124" i="9"/>
  <c r="L31" i="9"/>
  <c r="K37" i="9"/>
  <c r="M31" i="9"/>
  <c r="M21" i="9" s="1"/>
  <c r="L21" i="9" l="1"/>
  <c r="K21" i="9" s="1"/>
  <c r="K20" i="9" s="1"/>
  <c r="K31" i="9"/>
  <c r="K69" i="9"/>
  <c r="M20" i="9"/>
  <c r="H26" i="8"/>
  <c r="H27" i="8"/>
  <c r="L20" i="9" l="1"/>
</calcChain>
</file>

<file path=xl/sharedStrings.xml><?xml version="1.0" encoding="utf-8"?>
<sst xmlns="http://schemas.openxmlformats.org/spreadsheetml/2006/main" count="477" uniqueCount="136">
  <si>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</si>
  <si>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</si>
  <si>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</si>
  <si>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</si>
  <si>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</si>
  <si>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</si>
  <si>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</si>
  <si>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</si>
  <si>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</si>
  <si>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</si>
  <si>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</si>
  <si>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</si>
  <si>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</si>
  <si>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</si>
  <si>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</si>
  <si>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</si>
  <si>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</si>
  <si>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</si>
  <si>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</si>
  <si>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</si>
  <si>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</si>
  <si>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</si>
  <si>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</si>
  <si>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</si>
  <si>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</si>
  <si>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</si>
  <si>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</si>
  <si>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</si>
  <si>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</si>
  <si>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</si>
  <si>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</si>
  <si>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</si>
  <si>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</si>
  <si>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</si>
  <si>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</si>
  <si>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</si>
  <si>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</si>
  <si>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</si>
  <si>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</si>
  <si>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</si>
  <si>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</si>
  <si>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</si>
  <si>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</si>
  <si>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</si>
  <si>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</si>
  <si>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</si>
  <si>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</si>
  <si>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</si>
  <si>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</si>
  <si>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</si>
  <si>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</si>
  <si>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</si>
  <si>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</si>
  <si>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</si>
  <si>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</si>
  <si>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</si>
  <si>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</si>
  <si>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</si>
  <si>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</si>
  <si>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</si>
  <si>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</si>
  <si>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</si>
  <si>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</si>
  <si>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</si>
  <si>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</si>
  <si>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</si>
  <si>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</si>
  <si>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t>Naziv</t>
  </si>
  <si>
    <t>09 OBRAZOVANJE</t>
  </si>
  <si>
    <t>092 Srednjoškolsko obrazovanje</t>
  </si>
  <si>
    <t>Prihodi od prodaje proizvoda i robe te pruženih usluga i prihodi od donacija</t>
  </si>
  <si>
    <t>Financijski rashodi</t>
  </si>
  <si>
    <t>REDOVNA DJELATNOST - MINIMALNI STANDARDI</t>
  </si>
  <si>
    <t>A220101</t>
  </si>
  <si>
    <t>MATERIJALNI RASHODI PO KRITERIJIMA</t>
  </si>
  <si>
    <t>Decentralizirana sredstva za SŠ</t>
  </si>
  <si>
    <t>Financijski  rashodi</t>
  </si>
  <si>
    <t>A220102</t>
  </si>
  <si>
    <t>MATER. RASHODI PO STVARNOM TROŠKU</t>
  </si>
  <si>
    <t>A220103</t>
  </si>
  <si>
    <t>MATERIJALNI RASHODI - DRUGI IZVORI</t>
  </si>
  <si>
    <t>Vlastiti prihodi SŠ</t>
  </si>
  <si>
    <t>Prihodi za posebne namjene za SŠ</t>
  </si>
  <si>
    <t>Donacije</t>
  </si>
  <si>
    <t>A220104</t>
  </si>
  <si>
    <t>PLAĆE I DR.RASHODI ZA ZAPOSLENE SŠ</t>
  </si>
  <si>
    <t>MZO za proračunske korisnike</t>
  </si>
  <si>
    <t>PROGRAMI OBRAZOVANJA IZNAD STANDARDA</t>
  </si>
  <si>
    <t>A230101</t>
  </si>
  <si>
    <t>MATERIJALNI TROŠKOVI IZNAD STANDARDA</t>
  </si>
  <si>
    <t>Nenamjenski prihodi i primici</t>
  </si>
  <si>
    <t>A230104</t>
  </si>
  <si>
    <t>POMOĆNICI U NASTAVI</t>
  </si>
  <si>
    <t>A230162</t>
  </si>
  <si>
    <t>NAKNADA ZA ŽSV</t>
  </si>
  <si>
    <t>AZZO za proračunske korisnike</t>
  </si>
  <si>
    <t>A230168</t>
  </si>
  <si>
    <t>EU PROJEKTI KOD PRORAČUNSKIH KORISNIKA</t>
  </si>
  <si>
    <t>Prihodi od institucija EU</t>
  </si>
  <si>
    <t>Ostale institucije za srednje škole</t>
  </si>
  <si>
    <t>A230176</t>
  </si>
  <si>
    <t>Državno natjecanje</t>
  </si>
  <si>
    <t>A230184</t>
  </si>
  <si>
    <t>ZAVIČAJNA NASTAVA</t>
  </si>
  <si>
    <t>OPREMANJE U SŠ</t>
  </si>
  <si>
    <t>K240601</t>
  </si>
  <si>
    <t>ŠKOLSKI NAMJEŠTAJ I OPREMA</t>
  </si>
  <si>
    <t>K240602</t>
  </si>
  <si>
    <t>OPREMANJE BIBLIOTEKE</t>
  </si>
  <si>
    <t>MOZAIK 4</t>
  </si>
  <si>
    <t>T910801</t>
  </si>
  <si>
    <t>PROVEDBA PROJEKTA MOZAIK 4</t>
  </si>
  <si>
    <t>Strukturni fondovi EU</t>
  </si>
  <si>
    <t>091</t>
  </si>
  <si>
    <t>17249 INDUSTRIJSKO-OBRTNIČKA ŠKOLA PULA</t>
  </si>
  <si>
    <t>Rashodi za nabavu nefinan.imovine</t>
  </si>
  <si>
    <t>EUR</t>
  </si>
  <si>
    <t>OPREMANJE KABINETA</t>
  </si>
  <si>
    <t>Razlika</t>
  </si>
  <si>
    <t>Izvršenje 2022.</t>
  </si>
  <si>
    <t>Ministarstvo znanosti i obrazovanja za proračunske korisnike</t>
  </si>
  <si>
    <t>Ostale institucije za SŠ</t>
  </si>
  <si>
    <t>Decentralizirana sredstva za kapitalno za SŠ</t>
  </si>
  <si>
    <t>Prihodi od upravnih i admin.pristojbi, po posebnim propisima i naknada</t>
  </si>
  <si>
    <t>Agencija za odgoj i obrazovanje za prorač.korisnike</t>
  </si>
  <si>
    <t>A230116</t>
  </si>
  <si>
    <t>ŠKOLSKI LIST, ČASOPISI I KNJIGE</t>
  </si>
  <si>
    <t>A230209</t>
  </si>
  <si>
    <t>MENSTRUALNE HIGJENSKE POTREPŠTINE</t>
  </si>
  <si>
    <t>Ostali rashodi</t>
  </si>
  <si>
    <t>2302</t>
  </si>
  <si>
    <t>Ministarstvo rada, mirovinskog sustava, obitelji i socijalne politike za proračunske korisnike</t>
  </si>
  <si>
    <t>Plan za 2024.</t>
  </si>
  <si>
    <t>Projekcija 
za 2026.</t>
  </si>
  <si>
    <t>A230214</t>
  </si>
  <si>
    <t>FINANCIJSKI PLAN INDUSTRIJSKO-OBRTNIČKE ŠKOLE PULA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</si>
</sst>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/>
    </xf>
    <xf numFmtId="0" fontId="20" fillId="0" borderId="12" xfId="0" applyNumberFormat="1" applyFont="1" applyFill="1" applyBorder="1" applyAlignment="1" applyProtection="1">
      <alignment vertical="center" wrapText="1"/>
    </xf>
    <xf numFmtId="4" fontId="20" fillId="0" borderId="12" xfId="0" applyNumberFormat="1" applyFont="1" applyFill="1" applyBorder="1" applyAlignment="1" applyProtection="1">
      <alignment vertical="center"/>
    </xf>
    <xf numFmtId="0" fontId="20" fillId="0" borderId="8" xfId="0" applyNumberFormat="1" applyFont="1" applyFill="1" applyBorder="1" applyAlignment="1" applyProtection="1">
      <alignment horizontal="center" vertical="center"/>
    </xf>
    <xf numFmtId="0" fontId="20" fillId="0" borderId="9" xfId="0" applyNumberFormat="1" applyFont="1" applyFill="1" applyBorder="1" applyAlignment="1" applyProtection="1">
      <alignment vertical="center" wrapText="1"/>
    </xf>
    <xf numFmtId="4" fontId="20" fillId="0" borderId="9" xfId="0" applyNumberFormat="1" applyFont="1" applyFill="1" applyBorder="1" applyAlignment="1" applyProtection="1">
      <alignment vertical="center"/>
    </xf>
    <xf numFmtId="4" fontId="20" fillId="0" borderId="0" xfId="0" applyNumberFormat="1" applyFont="1" applyFill="1" applyBorder="1" applyAlignment="1" applyProtection="1">
      <alignment vertical="center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center" vertical="center"/>
    </xf>
    <xf numFmtId="4" fontId="20" fillId="0" borderId="17" xfId="0" applyNumberFormat="1" applyFont="1" applyFill="1" applyBorder="1" applyAlignment="1" applyProtection="1">
      <alignment vertical="center"/>
    </xf>
    <xf numFmtId="4" fontId="20" fillId="0" borderId="18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0" fillId="0" borderId="0" xfId="0" applyFill="1"/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3" fontId="3" fillId="0" borderId="4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18" fillId="0" borderId="4" xfId="0" applyNumberFormat="1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 applyProtection="1">
      <alignment horizontal="right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23" fillId="0" borderId="6" xfId="0" applyNumberFormat="1" applyFont="1" applyFill="1" applyBorder="1" applyAlignment="1" applyProtection="1">
      <alignment vertical="center" wrapText="1"/>
    </xf>
    <xf numFmtId="4" fontId="22" fillId="0" borderId="6" xfId="0" applyNumberFormat="1" applyFont="1" applyFill="1" applyBorder="1" applyAlignment="1" applyProtection="1">
      <alignment vertical="center"/>
    </xf>
    <xf numFmtId="3" fontId="19" fillId="0" borderId="6" xfId="0" applyNumberFormat="1" applyFont="1" applyFill="1" applyBorder="1" applyAlignment="1" applyProtection="1">
      <alignment vertical="center" wrapText="1"/>
    </xf>
    <xf numFmtId="4" fontId="19" fillId="0" borderId="7" xfId="0" applyNumberFormat="1" applyFont="1" applyFill="1" applyBorder="1" applyAlignment="1" applyProtection="1">
      <alignment vertical="center"/>
    </xf>
    <xf numFmtId="3" fontId="19" fillId="0" borderId="9" xfId="0" applyNumberFormat="1" applyFont="1" applyFill="1" applyBorder="1" applyAlignment="1" applyProtection="1">
      <alignment vertical="center" wrapText="1"/>
    </xf>
    <xf numFmtId="3" fontId="19" fillId="0" borderId="6" xfId="0" applyNumberFormat="1" applyFont="1" applyFill="1" applyBorder="1" applyAlignment="1" applyProtection="1">
      <alignment vertical="center"/>
    </xf>
    <xf numFmtId="4" fontId="19" fillId="0" borderId="9" xfId="0" applyNumberFormat="1" applyFont="1" applyFill="1" applyBorder="1" applyAlignment="1" applyProtection="1">
      <alignment vertical="center"/>
    </xf>
    <xf numFmtId="4" fontId="19" fillId="0" borderId="18" xfId="0" applyNumberFormat="1" applyFont="1" applyFill="1" applyBorder="1" applyAlignment="1" applyProtection="1">
      <alignment vertical="center"/>
    </xf>
    <xf numFmtId="3" fontId="6" fillId="0" borderId="6" xfId="0" applyNumberFormat="1" applyFont="1" applyFill="1" applyBorder="1" applyAlignment="1" applyProtection="1">
      <alignment vertical="center" wrapText="1"/>
    </xf>
    <xf numFmtId="4" fontId="6" fillId="0" borderId="7" xfId="0" applyNumberFormat="1" applyFont="1" applyFill="1" applyBorder="1" applyAlignment="1" applyProtection="1">
      <alignment vertical="center"/>
    </xf>
    <xf numFmtId="4" fontId="6" fillId="0" borderId="15" xfId="0" applyNumberFormat="1" applyFont="1" applyFill="1" applyBorder="1" applyAlignment="1" applyProtection="1">
      <alignment vertical="center"/>
    </xf>
    <xf numFmtId="0" fontId="19" fillId="0" borderId="13" xfId="0" applyNumberFormat="1" applyFont="1" applyFill="1" applyBorder="1" applyAlignment="1" applyProtection="1">
      <alignment horizontal="left" vertical="center"/>
    </xf>
    <xf numFmtId="0" fontId="21" fillId="0" borderId="7" xfId="0" applyNumberFormat="1" applyFont="1" applyFill="1" applyBorder="1" applyAlignment="1" applyProtection="1">
      <alignment horizontal="left" vertical="center"/>
    </xf>
    <xf numFmtId="0" fontId="1" fillId="0" borderId="0" xfId="0" applyFont="1" applyFill="1"/>
    <xf numFmtId="0" fontId="0" fillId="0" borderId="0" xfId="0" applyFont="1" applyFill="1"/>
    <xf numFmtId="4" fontId="19" fillId="0" borderId="10" xfId="0" applyNumberFormat="1" applyFont="1" applyFill="1" applyBorder="1" applyAlignment="1" applyProtection="1">
      <alignment vertical="center"/>
    </xf>
    <xf numFmtId="4" fontId="19" fillId="0" borderId="16" xfId="0" applyNumberFormat="1" applyFont="1" applyFill="1" applyBorder="1" applyAlignment="1" applyProtection="1">
      <alignment vertical="center"/>
    </xf>
    <xf numFmtId="4" fontId="22" fillId="0" borderId="16" xfId="0" applyNumberFormat="1" applyFont="1" applyFill="1" applyBorder="1" applyAlignment="1" applyProtection="1">
      <alignment vertical="center"/>
    </xf>
    <xf numFmtId="4" fontId="19" fillId="0" borderId="15" xfId="0" applyNumberFormat="1" applyFont="1" applyFill="1" applyBorder="1" applyAlignment="1" applyProtection="1">
      <alignment vertical="center"/>
    </xf>
    <xf numFmtId="3" fontId="1" fillId="0" borderId="0" xfId="0" applyNumberFormat="1" applyFont="1"/>
    <xf numFmtId="0" fontId="20" fillId="0" borderId="19" xfId="0" applyNumberFormat="1" applyFont="1" applyFill="1" applyBorder="1" applyAlignment="1" applyProtection="1">
      <alignment horizontal="center" vertical="center"/>
    </xf>
    <xf numFmtId="0" fontId="19" fillId="0" borderId="20" xfId="0" applyNumberFormat="1" applyFont="1" applyFill="1" applyBorder="1" applyAlignment="1" applyProtection="1">
      <alignment horizontal="center" vertical="center"/>
    </xf>
    <xf numFmtId="0" fontId="20" fillId="0" borderId="21" xfId="0" applyNumberFormat="1" applyFont="1" applyFill="1" applyBorder="1" applyAlignment="1" applyProtection="1">
      <alignment vertical="center" wrapText="1"/>
    </xf>
    <xf numFmtId="4" fontId="20" fillId="0" borderId="21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4" fontId="20" fillId="0" borderId="23" xfId="0" applyNumberFormat="1" applyFont="1" applyFill="1" applyBorder="1" applyAlignment="1" applyProtection="1">
      <alignment vertical="center"/>
    </xf>
    <xf numFmtId="4" fontId="19" fillId="0" borderId="23" xfId="0" applyNumberFormat="1" applyFont="1" applyFill="1" applyBorder="1" applyAlignment="1" applyProtection="1">
      <alignment vertical="center"/>
    </xf>
    <xf numFmtId="4" fontId="6" fillId="0" borderId="3" xfId="0" applyNumberFormat="1" applyFont="1" applyBorder="1" applyAlignment="1">
      <alignment horizontal="right"/>
    </xf>
    <xf numFmtId="3" fontId="6" fillId="4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3" fontId="22" fillId="0" borderId="6" xfId="0" applyNumberFormat="1" applyFont="1" applyFill="1" applyBorder="1" applyAlignment="1" applyProtection="1">
      <alignment vertical="center"/>
    </xf>
    <xf numFmtId="3" fontId="19" fillId="0" borderId="7" xfId="0" applyNumberFormat="1" applyFont="1" applyFill="1" applyBorder="1" applyAlignment="1" applyProtection="1">
      <alignment vertical="center"/>
    </xf>
    <xf numFmtId="3" fontId="19" fillId="0" borderId="10" xfId="0" applyNumberFormat="1" applyFont="1" applyFill="1" applyBorder="1" applyAlignment="1" applyProtection="1">
      <alignment vertical="center"/>
    </xf>
    <xf numFmtId="3" fontId="20" fillId="0" borderId="12" xfId="0" applyNumberFormat="1" applyFont="1" applyFill="1" applyBorder="1" applyAlignment="1" applyProtection="1">
      <alignment vertical="center"/>
    </xf>
    <xf numFmtId="3" fontId="20" fillId="0" borderId="23" xfId="0" applyNumberFormat="1" applyFont="1" applyFill="1" applyBorder="1" applyAlignment="1" applyProtection="1">
      <alignment vertical="center"/>
    </xf>
    <xf numFmtId="3" fontId="20" fillId="0" borderId="9" xfId="0" applyNumberFormat="1" applyFont="1" applyFill="1" applyBorder="1" applyAlignment="1" applyProtection="1">
      <alignment vertical="center"/>
    </xf>
    <xf numFmtId="3" fontId="20" fillId="0" borderId="21" xfId="0" applyNumberFormat="1" applyFont="1" applyFill="1" applyBorder="1" applyAlignment="1" applyProtection="1">
      <alignment vertical="center"/>
    </xf>
    <xf numFmtId="3" fontId="19" fillId="0" borderId="9" xfId="0" applyNumberFormat="1" applyFont="1" applyFill="1" applyBorder="1" applyAlignment="1" applyProtection="1">
      <alignment vertical="center"/>
    </xf>
    <xf numFmtId="3" fontId="22" fillId="0" borderId="16" xfId="0" applyNumberFormat="1" applyFont="1" applyFill="1" applyBorder="1" applyAlignment="1" applyProtection="1">
      <alignment vertical="center"/>
    </xf>
    <xf numFmtId="3" fontId="19" fillId="0" borderId="15" xfId="0" applyNumberFormat="1" applyFont="1" applyFill="1" applyBorder="1" applyAlignment="1" applyProtection="1">
      <alignment vertical="center"/>
    </xf>
    <xf numFmtId="3" fontId="19" fillId="0" borderId="16" xfId="0" applyNumberFormat="1" applyFont="1" applyFill="1" applyBorder="1" applyAlignment="1" applyProtection="1">
      <alignment vertical="center"/>
    </xf>
    <xf numFmtId="3" fontId="20" fillId="0" borderId="17" xfId="0" applyNumberFormat="1" applyFont="1" applyFill="1" applyBorder="1" applyAlignment="1" applyProtection="1">
      <alignment vertical="center"/>
    </xf>
    <xf numFmtId="3" fontId="20" fillId="0" borderId="18" xfId="0" applyNumberFormat="1" applyFont="1" applyFill="1" applyBorder="1" applyAlignment="1" applyProtection="1">
      <alignment vertical="center"/>
    </xf>
    <xf numFmtId="3" fontId="20" fillId="0" borderId="22" xfId="0" applyNumberFormat="1" applyFont="1" applyFill="1" applyBorder="1" applyAlignment="1" applyProtection="1">
      <alignment vertical="center"/>
    </xf>
    <xf numFmtId="3" fontId="19" fillId="0" borderId="18" xfId="0" applyNumberFormat="1" applyFont="1" applyFill="1" applyBorder="1" applyAlignment="1" applyProtection="1">
      <alignment vertical="center"/>
    </xf>
    <xf numFmtId="3" fontId="3" fillId="2" borderId="24" xfId="0" applyNumberFormat="1" applyFont="1" applyFill="1" applyBorder="1" applyAlignment="1">
      <alignment horizontal="right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23" fillId="0" borderId="1" xfId="0" applyNumberFormat="1" applyFont="1" applyFill="1" applyBorder="1" applyAlignment="1" applyProtection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left" vertical="center" wrapText="1"/>
    </xf>
    <xf numFmtId="49" fontId="22" fillId="0" borderId="13" xfId="0" applyNumberFormat="1" applyFont="1" applyFill="1" applyBorder="1" applyAlignment="1" applyProtection="1">
      <alignment horizontal="left" vertical="center" wrapText="1"/>
    </xf>
    <xf numFmtId="0" fontId="23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2" xfId="0" applyNumberFormat="1" applyFont="1" applyFill="1" applyBorder="1" applyAlignment="1" applyProtection="1">
      <alignment horizontal="left" vertical="center" wrapText="1"/>
    </xf>
    <xf numFmtId="49" fontId="24" fillId="0" borderId="13" xfId="0" applyNumberFormat="1" applyFont="1" applyFill="1" applyBorder="1" applyAlignment="1" applyProtection="1">
      <alignment horizontal="left" vertical="center" wrapText="1"/>
    </xf>
    <xf numFmtId="0" fontId="21" fillId="0" borderId="2" xfId="0" applyNumberFormat="1" applyFont="1" applyFill="1" applyBorder="1" applyAlignment="1" applyProtection="1">
      <alignment horizontal="left" vertical="center"/>
    </xf>
    <xf numFmtId="0" fontId="21" fillId="0" borderId="13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49" fontId="23" fillId="0" borderId="2" xfId="0" applyNumberFormat="1" applyFont="1" applyFill="1" applyBorder="1" applyAlignment="1" applyProtection="1">
      <alignment horizontal="left" vertical="center" wrapText="1"/>
    </xf>
    <xf numFmtId="49" fontId="23" fillId="0" borderId="13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2" xfId="0" applyNumberFormat="1" applyFont="1" applyFill="1" applyBorder="1" applyAlignment="1" applyProtection="1">
      <alignment horizontal="left" vertical="center" wrapText="1" indent="1"/>
    </xf>
    <xf numFmtId="0" fontId="3" fillId="0" borderId="4" xfId="0" applyNumberFormat="1" applyFont="1" applyFill="1" applyBorder="1" applyAlignment="1" applyProtection="1">
      <alignment horizontal="left" vertical="center" wrapText="1" inden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18" fillId="0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Alignment="1">
      <alignment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7" zoomScale="110" zoomScaleNormal="110" workbookViewId="0">
      <selection activeCell="A2" sqref="A2"/>
    </sheetView>
  </sheetViews>
  <sheetFormatPr defaultRowHeight="15" x14ac:dyDescent="0.25"/>
  <cols>
    <col min="5" max="5" width="25.28515625" customWidth="1"/>
    <col min="6" max="6" width="14.7109375" bestFit="1" customWidth="1"/>
    <col min="7" max="7" width="13" bestFit="1" customWidth="1"/>
    <col min="8" max="8" width="13" hidden="1" customWidth="1"/>
    <col min="9" max="9" width="14.5703125" customWidth="1"/>
    <col min="10" max="11" width="10.140625" bestFit="1" customWidth="1"/>
    <col min="12" max="12" width="17.28515625" customWidth="1"/>
  </cols>
  <sheetData>
    <row r="1" spans="1:11" ht="42" customHeight="1" x14ac:dyDescent="0.25">
      <c r="A1" s="114" t="s">
        <v>135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8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 x14ac:dyDescent="0.25">
      <c r="A3" s="114" t="s">
        <v>37</v>
      </c>
      <c r="B3" s="114"/>
      <c r="C3" s="114"/>
      <c r="D3" s="114"/>
      <c r="E3" s="114"/>
      <c r="F3" s="114"/>
      <c r="G3" s="114"/>
      <c r="H3" s="114"/>
      <c r="I3" s="114"/>
      <c r="J3" s="115"/>
      <c r="K3" s="115"/>
    </row>
    <row r="4" spans="1:11" ht="17.45" x14ac:dyDescent="0.3">
      <c r="A4" s="28"/>
      <c r="B4" s="28"/>
      <c r="C4" s="28"/>
      <c r="D4" s="28"/>
      <c r="E4" s="28"/>
      <c r="F4" s="28"/>
      <c r="G4" s="28"/>
      <c r="H4" s="28"/>
      <c r="I4" s="28"/>
      <c r="J4" s="5"/>
      <c r="K4" s="5"/>
    </row>
    <row r="5" spans="1:11" ht="18" customHeight="1" x14ac:dyDescent="0.25">
      <c r="A5" s="114" t="s">
        <v>53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1" ht="17.45" x14ac:dyDescent="0.3">
      <c r="A6" s="1"/>
      <c r="B6" s="2"/>
      <c r="C6" s="2"/>
      <c r="D6" s="2"/>
      <c r="E6" s="6"/>
      <c r="F6" s="7"/>
      <c r="G6" s="7"/>
      <c r="H6" s="7"/>
      <c r="I6" s="7"/>
      <c r="J6" s="7"/>
      <c r="K6" s="40" t="s">
        <v>116</v>
      </c>
    </row>
    <row r="7" spans="1:11" ht="25.5" x14ac:dyDescent="0.25">
      <c r="A7" s="31"/>
      <c r="B7" s="32"/>
      <c r="C7" s="32"/>
      <c r="D7" s="33"/>
      <c r="E7" s="34"/>
      <c r="F7" s="3" t="s">
        <v>119</v>
      </c>
      <c r="G7" s="3" t="s">
        <v>57</v>
      </c>
      <c r="H7" s="3" t="s">
        <v>118</v>
      </c>
      <c r="I7" s="3" t="s">
        <v>132</v>
      </c>
      <c r="J7" s="3" t="s">
        <v>59</v>
      </c>
      <c r="K7" s="3" t="s">
        <v>133</v>
      </c>
    </row>
    <row r="8" spans="1:11" ht="14.45" x14ac:dyDescent="0.3">
      <c r="A8" s="117" t="s">
        <v>0</v>
      </c>
      <c r="B8" s="118"/>
      <c r="C8" s="118"/>
      <c r="D8" s="118"/>
      <c r="E8" s="119"/>
      <c r="F8" s="35">
        <f>SUM(F9:F10)</f>
        <v>768263</v>
      </c>
      <c r="G8" s="35">
        <f t="shared" ref="G8" si="0">SUM(G9:G10)</f>
        <v>993195</v>
      </c>
      <c r="H8" s="35">
        <f>+I8-G8</f>
        <v>-51400.920000000042</v>
      </c>
      <c r="I8" s="35">
        <f t="shared" ref="I8:J8" si="1">SUM(I9:I10)</f>
        <v>941794.08</v>
      </c>
      <c r="J8" s="35">
        <f t="shared" si="1"/>
        <v>940864.08</v>
      </c>
      <c r="K8" s="35">
        <f t="shared" ref="K8" si="2">SUM(K9:K10)</f>
        <v>940864</v>
      </c>
    </row>
    <row r="9" spans="1:11" ht="14.45" x14ac:dyDescent="0.3">
      <c r="A9" s="112" t="s">
        <v>1</v>
      </c>
      <c r="B9" s="113"/>
      <c r="C9" s="113"/>
      <c r="D9" s="113"/>
      <c r="E9" s="120"/>
      <c r="F9" s="36">
        <v>757525</v>
      </c>
      <c r="G9" s="36">
        <v>993195</v>
      </c>
      <c r="H9" s="36">
        <f t="shared" ref="H9:H14" si="3">+I9-G9</f>
        <v>-51400.920000000042</v>
      </c>
      <c r="I9" s="36">
        <v>941794.08</v>
      </c>
      <c r="J9" s="36">
        <v>940864.08</v>
      </c>
      <c r="K9" s="36">
        <v>940864</v>
      </c>
    </row>
    <row r="10" spans="1:11" ht="14.45" x14ac:dyDescent="0.3">
      <c r="A10" s="121" t="s">
        <v>2</v>
      </c>
      <c r="B10" s="120"/>
      <c r="C10" s="120"/>
      <c r="D10" s="120"/>
      <c r="E10" s="120"/>
      <c r="F10" s="36">
        <v>10738</v>
      </c>
      <c r="G10" s="36">
        <v>0</v>
      </c>
      <c r="H10" s="36">
        <f t="shared" si="3"/>
        <v>0</v>
      </c>
      <c r="I10" s="36">
        <v>0</v>
      </c>
      <c r="J10" s="36">
        <v>0</v>
      </c>
      <c r="K10" s="36">
        <v>0</v>
      </c>
    </row>
    <row r="11" spans="1:11" ht="14.45" x14ac:dyDescent="0.3">
      <c r="A11" s="41" t="s">
        <v>3</v>
      </c>
      <c r="B11" s="42"/>
      <c r="C11" s="42"/>
      <c r="D11" s="42"/>
      <c r="E11" s="42"/>
      <c r="F11" s="35">
        <f>SUM(F12:F13)</f>
        <v>761473</v>
      </c>
      <c r="G11" s="35">
        <f t="shared" ref="G11" si="4">SUM(G12:G13)</f>
        <v>1023093</v>
      </c>
      <c r="H11" s="35">
        <f t="shared" si="3"/>
        <v>-31632.520000000019</v>
      </c>
      <c r="I11" s="35">
        <f t="shared" ref="I11:J11" si="5">SUM(I12:I13)</f>
        <v>991460.48</v>
      </c>
      <c r="J11" s="35">
        <f t="shared" si="5"/>
        <v>940864.08</v>
      </c>
      <c r="K11" s="35">
        <f t="shared" ref="K11" si="6">SUM(K12:K13)</f>
        <v>940864</v>
      </c>
    </row>
    <row r="12" spans="1:11" ht="14.45" x14ac:dyDescent="0.3">
      <c r="A12" s="122" t="s">
        <v>4</v>
      </c>
      <c r="B12" s="113"/>
      <c r="C12" s="113"/>
      <c r="D12" s="113"/>
      <c r="E12" s="113"/>
      <c r="F12" s="36">
        <v>757919</v>
      </c>
      <c r="G12" s="36">
        <v>795704</v>
      </c>
      <c r="H12" s="36">
        <f t="shared" si="3"/>
        <v>189662.47999999998</v>
      </c>
      <c r="I12" s="36">
        <v>985366.48</v>
      </c>
      <c r="J12" s="36">
        <v>940100.08</v>
      </c>
      <c r="K12" s="36">
        <v>940100</v>
      </c>
    </row>
    <row r="13" spans="1:11" ht="14.45" x14ac:dyDescent="0.3">
      <c r="A13" s="123" t="s">
        <v>5</v>
      </c>
      <c r="B13" s="120"/>
      <c r="C13" s="120"/>
      <c r="D13" s="120"/>
      <c r="E13" s="120"/>
      <c r="F13" s="37">
        <v>3554</v>
      </c>
      <c r="G13" s="37">
        <v>227389</v>
      </c>
      <c r="H13" s="37">
        <f t="shared" si="3"/>
        <v>-221295</v>
      </c>
      <c r="I13" s="37">
        <v>6094</v>
      </c>
      <c r="J13" s="37">
        <v>764</v>
      </c>
      <c r="K13" s="37">
        <v>764</v>
      </c>
    </row>
    <row r="14" spans="1:11" x14ac:dyDescent="0.25">
      <c r="A14" s="124" t="s">
        <v>6</v>
      </c>
      <c r="B14" s="118"/>
      <c r="C14" s="118"/>
      <c r="D14" s="118"/>
      <c r="E14" s="118"/>
      <c r="F14" s="35">
        <f>+F8-F11</f>
        <v>6790</v>
      </c>
      <c r="G14" s="35">
        <f t="shared" ref="G14" si="7">+G8-G11</f>
        <v>-29898</v>
      </c>
      <c r="H14" s="35">
        <f t="shared" si="3"/>
        <v>-19768.400000000023</v>
      </c>
      <c r="I14" s="35">
        <f t="shared" ref="I14:J14" si="8">+I8-I11</f>
        <v>-49666.400000000023</v>
      </c>
      <c r="J14" s="35">
        <f t="shared" si="8"/>
        <v>0</v>
      </c>
      <c r="K14" s="35">
        <f t="shared" ref="K14" si="9">+K8-K11</f>
        <v>0</v>
      </c>
    </row>
    <row r="15" spans="1:11" ht="17.45" x14ac:dyDescent="0.3">
      <c r="A15" s="28"/>
      <c r="B15" s="26"/>
      <c r="C15" s="26"/>
      <c r="D15" s="26"/>
      <c r="E15" s="26"/>
      <c r="F15" s="26"/>
      <c r="G15" s="27"/>
      <c r="H15" s="27"/>
      <c r="I15" s="27"/>
      <c r="J15" s="27"/>
      <c r="K15" s="27"/>
    </row>
    <row r="16" spans="1:11" ht="18" customHeight="1" x14ac:dyDescent="0.25">
      <c r="A16" s="114" t="s">
        <v>54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</row>
    <row r="17" spans="1:11" ht="17.45" x14ac:dyDescent="0.3">
      <c r="A17" s="28"/>
      <c r="B17" s="26"/>
      <c r="C17" s="26"/>
      <c r="D17" s="26"/>
      <c r="E17" s="26"/>
      <c r="F17" s="26"/>
      <c r="G17" s="27"/>
      <c r="H17" s="27"/>
      <c r="I17" s="27"/>
      <c r="J17" s="27"/>
      <c r="K17" s="27"/>
    </row>
    <row r="18" spans="1:11" ht="25.5" x14ac:dyDescent="0.25">
      <c r="A18" s="31"/>
      <c r="B18" s="32"/>
      <c r="C18" s="32"/>
      <c r="D18" s="33"/>
      <c r="E18" s="34"/>
      <c r="F18" s="3" t="s">
        <v>119</v>
      </c>
      <c r="G18" s="3" t="s">
        <v>57</v>
      </c>
      <c r="H18" s="3" t="s">
        <v>118</v>
      </c>
      <c r="I18" s="3" t="s">
        <v>132</v>
      </c>
      <c r="J18" s="3" t="s">
        <v>59</v>
      </c>
      <c r="K18" s="3" t="s">
        <v>133</v>
      </c>
    </row>
    <row r="19" spans="1:11" ht="15.75" customHeight="1" x14ac:dyDescent="0.25">
      <c r="A19" s="112" t="s">
        <v>8</v>
      </c>
      <c r="B19" s="125"/>
      <c r="C19" s="125"/>
      <c r="D19" s="125"/>
      <c r="E19" s="126"/>
      <c r="F19" s="93"/>
      <c r="G19" s="93"/>
      <c r="H19" s="93"/>
      <c r="I19" s="93"/>
      <c r="J19" s="93"/>
      <c r="K19" s="93"/>
    </row>
    <row r="20" spans="1:11" ht="14.45" x14ac:dyDescent="0.3">
      <c r="A20" s="112" t="s">
        <v>9</v>
      </c>
      <c r="B20" s="113"/>
      <c r="C20" s="113"/>
      <c r="D20" s="113"/>
      <c r="E20" s="113"/>
      <c r="F20" s="93"/>
      <c r="G20" s="93"/>
      <c r="H20" s="93"/>
      <c r="I20" s="93"/>
      <c r="J20" s="93"/>
      <c r="K20" s="93"/>
    </row>
    <row r="21" spans="1:11" ht="14.45" x14ac:dyDescent="0.3">
      <c r="A21" s="124" t="s">
        <v>10</v>
      </c>
      <c r="B21" s="118"/>
      <c r="C21" s="118"/>
      <c r="D21" s="118"/>
      <c r="E21" s="118"/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</row>
    <row r="22" spans="1:11" ht="17.45" x14ac:dyDescent="0.3">
      <c r="A22" s="25"/>
      <c r="B22" s="26"/>
      <c r="C22" s="26"/>
      <c r="D22" s="26"/>
      <c r="E22" s="26"/>
      <c r="F22" s="26"/>
      <c r="G22" s="27"/>
      <c r="H22" s="27"/>
      <c r="I22" s="27"/>
      <c r="J22" s="27"/>
      <c r="K22" s="27"/>
    </row>
    <row r="23" spans="1:11" ht="18" customHeight="1" x14ac:dyDescent="0.25">
      <c r="A23" s="114" t="s">
        <v>66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1" ht="17.45" x14ac:dyDescent="0.3">
      <c r="A24" s="25"/>
      <c r="B24" s="26"/>
      <c r="C24" s="26"/>
      <c r="D24" s="26"/>
      <c r="E24" s="26"/>
      <c r="F24" s="26"/>
      <c r="G24" s="27"/>
      <c r="H24" s="27"/>
      <c r="I24" s="27"/>
      <c r="J24" s="27"/>
      <c r="K24" s="27"/>
    </row>
    <row r="25" spans="1:11" ht="25.5" x14ac:dyDescent="0.25">
      <c r="A25" s="31"/>
      <c r="B25" s="32"/>
      <c r="C25" s="32"/>
      <c r="D25" s="33"/>
      <c r="E25" s="34"/>
      <c r="F25" s="3" t="s">
        <v>119</v>
      </c>
      <c r="G25" s="3" t="s">
        <v>57</v>
      </c>
      <c r="H25" s="3" t="s">
        <v>118</v>
      </c>
      <c r="I25" s="3" t="s">
        <v>132</v>
      </c>
      <c r="J25" s="3" t="s">
        <v>59</v>
      </c>
      <c r="K25" s="3" t="s">
        <v>133</v>
      </c>
    </row>
    <row r="26" spans="1:11" x14ac:dyDescent="0.25">
      <c r="A26" s="129" t="s">
        <v>55</v>
      </c>
      <c r="B26" s="130"/>
      <c r="C26" s="130"/>
      <c r="D26" s="130"/>
      <c r="E26" s="131"/>
      <c r="F26" s="38">
        <v>12592</v>
      </c>
      <c r="G26" s="38">
        <v>29898</v>
      </c>
      <c r="H26" s="38">
        <f t="shared" ref="H26:H27" si="10">+I26-G26</f>
        <v>19768</v>
      </c>
      <c r="I26" s="38">
        <v>49666</v>
      </c>
      <c r="J26" s="38">
        <v>0</v>
      </c>
      <c r="K26" s="94">
        <v>0</v>
      </c>
    </row>
    <row r="27" spans="1:11" ht="30" customHeight="1" x14ac:dyDescent="0.25">
      <c r="A27" s="132" t="s">
        <v>7</v>
      </c>
      <c r="B27" s="133"/>
      <c r="C27" s="133"/>
      <c r="D27" s="133"/>
      <c r="E27" s="134"/>
      <c r="F27" s="39">
        <f>+F26</f>
        <v>12592</v>
      </c>
      <c r="G27" s="39">
        <v>29898</v>
      </c>
      <c r="H27" s="39">
        <f t="shared" si="10"/>
        <v>19768</v>
      </c>
      <c r="I27" s="39">
        <v>49666</v>
      </c>
      <c r="J27" s="39">
        <v>0</v>
      </c>
      <c r="K27" s="95">
        <v>0</v>
      </c>
    </row>
    <row r="30" spans="1:11" x14ac:dyDescent="0.25">
      <c r="A30" s="122" t="s">
        <v>11</v>
      </c>
      <c r="B30" s="113"/>
      <c r="C30" s="113"/>
      <c r="D30" s="113"/>
      <c r="E30" s="113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</row>
    <row r="31" spans="1:11" ht="11.25" customHeight="1" x14ac:dyDescent="0.3">
      <c r="A31" s="20"/>
      <c r="B31" s="21"/>
      <c r="C31" s="21"/>
      <c r="D31" s="21"/>
      <c r="E31" s="21"/>
      <c r="F31" s="22"/>
      <c r="G31" s="22"/>
      <c r="H31" s="22"/>
      <c r="I31" s="22"/>
      <c r="J31" s="22"/>
      <c r="K31" s="22"/>
    </row>
    <row r="32" spans="1:11" ht="8.25" customHeight="1" x14ac:dyDescent="0.3"/>
    <row r="33" spans="1:11" ht="33.6" customHeight="1" x14ac:dyDescent="0.25">
      <c r="A33" s="127" t="s">
        <v>56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</sheetData>
  <mergeCells count="18">
    <mergeCell ref="A33:K33"/>
    <mergeCell ref="A21:E21"/>
    <mergeCell ref="A23:K23"/>
    <mergeCell ref="A26:E26"/>
    <mergeCell ref="A27:E27"/>
    <mergeCell ref="A30:E30"/>
    <mergeCell ref="A20:E20"/>
    <mergeCell ref="A1:K1"/>
    <mergeCell ref="A3:K3"/>
    <mergeCell ref="A5:K5"/>
    <mergeCell ref="A8:E8"/>
    <mergeCell ref="A9:E9"/>
    <mergeCell ref="A10:E10"/>
    <mergeCell ref="A12:E12"/>
    <mergeCell ref="A13:E13"/>
    <mergeCell ref="A14:E14"/>
    <mergeCell ref="A16:K16"/>
    <mergeCell ref="A19:E19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A16" zoomScaleNormal="100"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7109375" bestFit="1" customWidth="1"/>
    <col min="4" max="4" width="32" customWidth="1"/>
    <col min="5" max="5" width="14" bestFit="1" customWidth="1"/>
    <col min="6" max="6" width="12.42578125" bestFit="1" customWidth="1"/>
    <col min="7" max="7" width="12.42578125" hidden="1" customWidth="1"/>
    <col min="8" max="8" width="12.42578125" customWidth="1"/>
    <col min="9" max="9" width="9.85546875" customWidth="1"/>
    <col min="10" max="10" width="10.140625" customWidth="1"/>
  </cols>
  <sheetData>
    <row r="1" spans="1:11" ht="42" customHeight="1" x14ac:dyDescent="0.3">
      <c r="A1" s="114" t="str">
        <f>+SAŽETAK!A1</f>
        <v>FINANCIJSKI PLAN INDUSTRIJSKO-OBRTNIČKE ŠKOLE PULA
ZA 2024. I PROJEKCIJA ZA 2025. I 2026. GODINU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1" ht="15.75" x14ac:dyDescent="0.25">
      <c r="A2" s="114" t="s">
        <v>37</v>
      </c>
      <c r="B2" s="114"/>
      <c r="C2" s="114"/>
      <c r="D2" s="114"/>
      <c r="E2" s="114"/>
      <c r="F2" s="114"/>
      <c r="G2" s="114"/>
      <c r="H2" s="114"/>
      <c r="I2" s="115"/>
      <c r="J2" s="115"/>
    </row>
    <row r="3" spans="1:11" ht="15.75" x14ac:dyDescent="0.25">
      <c r="A3" s="114" t="s">
        <v>15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11" ht="15.6" x14ac:dyDescent="0.3">
      <c r="A4" s="114" t="s">
        <v>1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1" ht="6" customHeight="1" x14ac:dyDescent="0.3">
      <c r="A5" s="28"/>
      <c r="B5" s="28"/>
      <c r="C5" s="28"/>
      <c r="D5" s="28"/>
      <c r="E5" s="28"/>
      <c r="F5" s="28"/>
      <c r="G5" s="28"/>
      <c r="H5" s="28"/>
      <c r="I5" s="5"/>
      <c r="J5" s="5"/>
    </row>
    <row r="6" spans="1:11" ht="38.25" x14ac:dyDescent="0.25">
      <c r="A6" s="24" t="s">
        <v>16</v>
      </c>
      <c r="B6" s="23" t="s">
        <v>17</v>
      </c>
      <c r="C6" s="23" t="s">
        <v>18</v>
      </c>
      <c r="D6" s="23" t="s">
        <v>14</v>
      </c>
      <c r="E6" s="23" t="s">
        <v>119</v>
      </c>
      <c r="F6" s="24" t="s">
        <v>57</v>
      </c>
      <c r="G6" s="24" t="s">
        <v>118</v>
      </c>
      <c r="H6" s="24" t="s">
        <v>132</v>
      </c>
      <c r="I6" s="24" t="s">
        <v>59</v>
      </c>
      <c r="J6" s="24" t="s">
        <v>133</v>
      </c>
    </row>
    <row r="7" spans="1:11" ht="15.75" customHeight="1" x14ac:dyDescent="0.3">
      <c r="A7" s="11">
        <v>6</v>
      </c>
      <c r="B7" s="11"/>
      <c r="C7" s="11"/>
      <c r="D7" s="11" t="s">
        <v>19</v>
      </c>
      <c r="E7" s="8">
        <f>+E8+E15+E17+E13</f>
        <v>757525</v>
      </c>
      <c r="F7" s="8">
        <f>+F8+F15+F17</f>
        <v>993195</v>
      </c>
      <c r="G7" s="8">
        <f t="shared" ref="G7:G24" si="0">+H7-F7</f>
        <v>-51401</v>
      </c>
      <c r="H7" s="8">
        <f>+H8+H15+H17+H13</f>
        <v>941794</v>
      </c>
      <c r="I7" s="8">
        <f>+I8+I15+I17+I13</f>
        <v>940864.08</v>
      </c>
      <c r="J7" s="8">
        <f>+J8+J15+J17+J13</f>
        <v>940864.08</v>
      </c>
    </row>
    <row r="8" spans="1:11" ht="25.5" x14ac:dyDescent="0.25">
      <c r="A8" s="11"/>
      <c r="B8" s="16">
        <v>63</v>
      </c>
      <c r="C8" s="16"/>
      <c r="D8" s="16" t="s">
        <v>61</v>
      </c>
      <c r="E8" s="8">
        <f>SUM(E9:E12)</f>
        <v>667595</v>
      </c>
      <c r="F8" s="9">
        <f>SUM(F9:F12)</f>
        <v>866947</v>
      </c>
      <c r="G8" s="9">
        <f t="shared" si="0"/>
        <v>-23527</v>
      </c>
      <c r="H8" s="9">
        <f>SUM(H9:H12)</f>
        <v>843420</v>
      </c>
      <c r="I8" s="9">
        <v>843420</v>
      </c>
      <c r="J8" s="9">
        <v>843420</v>
      </c>
      <c r="K8" s="90"/>
    </row>
    <row r="9" spans="1:11" ht="25.5" x14ac:dyDescent="0.25">
      <c r="A9" s="12"/>
      <c r="B9" s="12"/>
      <c r="C9" s="13">
        <v>53082</v>
      </c>
      <c r="D9" s="18" t="s">
        <v>120</v>
      </c>
      <c r="E9" s="8">
        <v>627686</v>
      </c>
      <c r="F9" s="9">
        <v>648720</v>
      </c>
      <c r="G9" s="9">
        <f t="shared" si="0"/>
        <v>194700</v>
      </c>
      <c r="H9" s="9">
        <v>843420</v>
      </c>
      <c r="I9" s="9">
        <v>0</v>
      </c>
      <c r="J9" s="9">
        <v>0</v>
      </c>
    </row>
    <row r="10" spans="1:11" ht="14.45" x14ac:dyDescent="0.3">
      <c r="A10" s="12"/>
      <c r="B10" s="12"/>
      <c r="C10" s="13">
        <v>51001</v>
      </c>
      <c r="D10" s="18" t="s">
        <v>98</v>
      </c>
      <c r="E10" s="8">
        <v>0</v>
      </c>
      <c r="F10" s="9">
        <v>179083</v>
      </c>
      <c r="G10" s="9">
        <f t="shared" si="0"/>
        <v>-179083</v>
      </c>
      <c r="H10" s="9">
        <v>0</v>
      </c>
      <c r="I10" s="9">
        <v>0</v>
      </c>
      <c r="J10" s="9">
        <v>0</v>
      </c>
    </row>
    <row r="11" spans="1:11" ht="38.25" x14ac:dyDescent="0.25">
      <c r="A11" s="12"/>
      <c r="B11" s="12"/>
      <c r="C11" s="13">
        <v>53102</v>
      </c>
      <c r="D11" s="18" t="s">
        <v>131</v>
      </c>
      <c r="E11" s="8">
        <v>0</v>
      </c>
      <c r="F11" s="9">
        <v>5</v>
      </c>
      <c r="G11" s="9">
        <v>5</v>
      </c>
      <c r="H11" s="9">
        <v>0</v>
      </c>
      <c r="I11" s="9">
        <v>0</v>
      </c>
      <c r="J11" s="9">
        <v>0</v>
      </c>
    </row>
    <row r="12" spans="1:11" x14ac:dyDescent="0.25">
      <c r="A12" s="12"/>
      <c r="B12" s="12"/>
      <c r="C12" s="13">
        <v>58400</v>
      </c>
      <c r="D12" s="18" t="s">
        <v>121</v>
      </c>
      <c r="E12" s="8">
        <v>39909</v>
      </c>
      <c r="F12" s="9">
        <v>39139</v>
      </c>
      <c r="G12" s="9">
        <f t="shared" si="0"/>
        <v>-39139</v>
      </c>
      <c r="H12" s="9">
        <v>0</v>
      </c>
      <c r="I12" s="9">
        <v>0</v>
      </c>
      <c r="J12" s="9">
        <v>0</v>
      </c>
    </row>
    <row r="13" spans="1:11" ht="26.45" x14ac:dyDescent="0.3">
      <c r="A13" s="11"/>
      <c r="B13" s="16">
        <v>65</v>
      </c>
      <c r="C13" s="16"/>
      <c r="D13" s="16" t="s">
        <v>123</v>
      </c>
      <c r="E13" s="8">
        <v>410</v>
      </c>
      <c r="F13" s="9">
        <f t="shared" ref="F13:H13" si="1">+F14</f>
        <v>0</v>
      </c>
      <c r="G13" s="9">
        <f t="shared" si="1"/>
        <v>1100</v>
      </c>
      <c r="H13" s="9">
        <f t="shared" si="1"/>
        <v>1100</v>
      </c>
      <c r="I13" s="9">
        <f>+I14</f>
        <v>1100</v>
      </c>
      <c r="J13" s="9">
        <f>+J14</f>
        <v>1100</v>
      </c>
    </row>
    <row r="14" spans="1:11" x14ac:dyDescent="0.25">
      <c r="A14" s="12"/>
      <c r="B14" s="12"/>
      <c r="C14" s="13">
        <v>32400</v>
      </c>
      <c r="D14" s="13" t="s">
        <v>81</v>
      </c>
      <c r="E14" s="8">
        <v>410</v>
      </c>
      <c r="F14" s="9">
        <v>0</v>
      </c>
      <c r="G14" s="9">
        <f t="shared" si="0"/>
        <v>1100</v>
      </c>
      <c r="H14" s="9">
        <v>1100</v>
      </c>
      <c r="I14" s="9">
        <v>1100</v>
      </c>
      <c r="J14" s="9">
        <v>1100</v>
      </c>
    </row>
    <row r="15" spans="1:11" ht="38.25" x14ac:dyDescent="0.25">
      <c r="A15" s="11"/>
      <c r="B15" s="16">
        <v>66</v>
      </c>
      <c r="C15" s="16"/>
      <c r="D15" s="16" t="s">
        <v>70</v>
      </c>
      <c r="E15" s="8">
        <v>5474</v>
      </c>
      <c r="F15" s="9">
        <f>+F16</f>
        <v>6501</v>
      </c>
      <c r="G15" s="9">
        <f t="shared" si="0"/>
        <v>0</v>
      </c>
      <c r="H15" s="9">
        <f>+H16</f>
        <v>6501</v>
      </c>
      <c r="I15" s="9">
        <f>+I16</f>
        <v>6501</v>
      </c>
      <c r="J15" s="9">
        <f>+J16</f>
        <v>6501</v>
      </c>
    </row>
    <row r="16" spans="1:11" x14ac:dyDescent="0.25">
      <c r="A16" s="12"/>
      <c r="B16" s="12"/>
      <c r="C16" s="13">
        <v>32400</v>
      </c>
      <c r="D16" s="13" t="s">
        <v>81</v>
      </c>
      <c r="E16" s="8">
        <v>5474</v>
      </c>
      <c r="F16" s="9">
        <v>6501</v>
      </c>
      <c r="G16" s="9">
        <f t="shared" si="0"/>
        <v>0</v>
      </c>
      <c r="H16" s="9">
        <v>6501</v>
      </c>
      <c r="I16" s="9">
        <v>6501</v>
      </c>
      <c r="J16" s="9">
        <v>6501</v>
      </c>
    </row>
    <row r="17" spans="1:11" ht="25.5" x14ac:dyDescent="0.25">
      <c r="A17" s="12"/>
      <c r="B17" s="12">
        <v>67</v>
      </c>
      <c r="C17" s="13"/>
      <c r="D17" s="16" t="s">
        <v>62</v>
      </c>
      <c r="E17" s="8">
        <f>SUM(E18:E21)</f>
        <v>84046</v>
      </c>
      <c r="F17" s="9">
        <f>SUM(F18:F21)</f>
        <v>119747</v>
      </c>
      <c r="G17" s="9">
        <f t="shared" si="0"/>
        <v>-28974</v>
      </c>
      <c r="H17" s="9">
        <f>SUM(H18:H21)</f>
        <v>90773</v>
      </c>
      <c r="I17" s="9">
        <v>89843.08</v>
      </c>
      <c r="J17" s="9">
        <v>89843.08</v>
      </c>
    </row>
    <row r="18" spans="1:11" x14ac:dyDescent="0.25">
      <c r="A18" s="12"/>
      <c r="B18" s="12"/>
      <c r="C18" s="13">
        <v>48007</v>
      </c>
      <c r="D18" s="13" t="s">
        <v>75</v>
      </c>
      <c r="E18" s="8">
        <v>77919</v>
      </c>
      <c r="F18" s="8">
        <v>80131</v>
      </c>
      <c r="G18" s="8">
        <f t="shared" si="0"/>
        <v>0</v>
      </c>
      <c r="H18" s="8">
        <v>80131</v>
      </c>
      <c r="I18" s="8">
        <v>0</v>
      </c>
      <c r="J18" s="8">
        <v>0</v>
      </c>
      <c r="K18" s="90"/>
    </row>
    <row r="19" spans="1:11" ht="25.5" x14ac:dyDescent="0.25">
      <c r="A19" s="12"/>
      <c r="B19" s="12"/>
      <c r="C19" s="13">
        <v>48008</v>
      </c>
      <c r="D19" s="18" t="s">
        <v>122</v>
      </c>
      <c r="E19" s="8">
        <v>1052</v>
      </c>
      <c r="F19" s="8">
        <v>0</v>
      </c>
      <c r="G19" s="8">
        <f t="shared" si="0"/>
        <v>0</v>
      </c>
      <c r="H19" s="8">
        <v>0</v>
      </c>
      <c r="I19" s="8">
        <v>0</v>
      </c>
      <c r="J19" s="8">
        <v>0</v>
      </c>
    </row>
    <row r="20" spans="1:11" x14ac:dyDescent="0.25">
      <c r="A20" s="12"/>
      <c r="B20" s="12"/>
      <c r="C20" s="13">
        <v>11001</v>
      </c>
      <c r="D20" s="13" t="s">
        <v>90</v>
      </c>
      <c r="E20" s="8">
        <f>625+1327+531</f>
        <v>2483</v>
      </c>
      <c r="F20" s="8">
        <v>39616</v>
      </c>
      <c r="G20" s="8">
        <f t="shared" si="0"/>
        <v>-28974</v>
      </c>
      <c r="H20" s="8">
        <v>10642</v>
      </c>
      <c r="I20" s="8">
        <v>0</v>
      </c>
      <c r="J20" s="8">
        <v>0</v>
      </c>
    </row>
    <row r="21" spans="1:11" x14ac:dyDescent="0.25">
      <c r="A21" s="12"/>
      <c r="B21" s="12"/>
      <c r="C21" s="13">
        <v>51100</v>
      </c>
      <c r="D21" s="13" t="s">
        <v>112</v>
      </c>
      <c r="E21" s="8">
        <v>2592</v>
      </c>
      <c r="F21" s="8">
        <v>0</v>
      </c>
      <c r="G21" s="8">
        <f t="shared" si="0"/>
        <v>0</v>
      </c>
      <c r="H21" s="8">
        <v>0</v>
      </c>
      <c r="I21" s="8">
        <v>0</v>
      </c>
      <c r="J21" s="8">
        <v>0</v>
      </c>
    </row>
    <row r="22" spans="1:11" ht="25.5" x14ac:dyDescent="0.25">
      <c r="A22" s="14">
        <v>7</v>
      </c>
      <c r="B22" s="15"/>
      <c r="C22" s="15"/>
      <c r="D22" s="29" t="s">
        <v>21</v>
      </c>
      <c r="E22" s="8">
        <f>+E23</f>
        <v>10738</v>
      </c>
      <c r="F22" s="8">
        <f t="shared" ref="F22:J22" si="2">+F23</f>
        <v>0</v>
      </c>
      <c r="G22" s="8">
        <f t="shared" si="0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</row>
    <row r="23" spans="1:11" ht="25.5" x14ac:dyDescent="0.25">
      <c r="A23" s="16"/>
      <c r="B23" s="16">
        <v>72</v>
      </c>
      <c r="C23" s="16"/>
      <c r="D23" s="30" t="s">
        <v>60</v>
      </c>
      <c r="E23" s="8">
        <f>SUM(E24)</f>
        <v>10738</v>
      </c>
      <c r="F23" s="9">
        <v>0</v>
      </c>
      <c r="G23" s="9">
        <f t="shared" si="0"/>
        <v>0</v>
      </c>
      <c r="H23" s="9">
        <v>0</v>
      </c>
      <c r="I23" s="9">
        <v>0</v>
      </c>
      <c r="J23" s="10">
        <v>0</v>
      </c>
    </row>
    <row r="24" spans="1:11" x14ac:dyDescent="0.25">
      <c r="A24" s="16"/>
      <c r="B24" s="16"/>
      <c r="C24" s="13">
        <v>32400</v>
      </c>
      <c r="D24" s="13" t="s">
        <v>81</v>
      </c>
      <c r="E24" s="8">
        <v>10738</v>
      </c>
      <c r="F24" s="9">
        <v>0</v>
      </c>
      <c r="G24" s="9">
        <f t="shared" si="0"/>
        <v>0</v>
      </c>
      <c r="H24" s="9">
        <v>0</v>
      </c>
      <c r="I24" s="9">
        <v>0</v>
      </c>
      <c r="J24" s="10">
        <v>0</v>
      </c>
    </row>
    <row r="25" spans="1:11" ht="7.15" customHeight="1" x14ac:dyDescent="0.25"/>
    <row r="26" spans="1:11" ht="15.75" x14ac:dyDescent="0.25">
      <c r="A26" s="114" t="s">
        <v>22</v>
      </c>
      <c r="B26" s="135"/>
      <c r="C26" s="135"/>
      <c r="D26" s="135"/>
      <c r="E26" s="135"/>
      <c r="F26" s="135"/>
      <c r="G26" s="135"/>
      <c r="H26" s="135"/>
      <c r="I26" s="135"/>
      <c r="J26" s="135"/>
    </row>
    <row r="27" spans="1:11" ht="6" customHeight="1" x14ac:dyDescent="0.25">
      <c r="A27" s="28"/>
      <c r="B27" s="28"/>
      <c r="C27" s="28"/>
      <c r="D27" s="28"/>
      <c r="E27" s="28"/>
      <c r="F27" s="28"/>
      <c r="G27" s="28"/>
      <c r="H27" s="28"/>
      <c r="I27" s="5"/>
      <c r="J27" s="5"/>
    </row>
    <row r="28" spans="1:11" ht="38.25" x14ac:dyDescent="0.25">
      <c r="A28" s="24" t="s">
        <v>16</v>
      </c>
      <c r="B28" s="23" t="s">
        <v>17</v>
      </c>
      <c r="C28" s="23" t="s">
        <v>18</v>
      </c>
      <c r="D28" s="23" t="s">
        <v>23</v>
      </c>
      <c r="E28" s="23" t="s">
        <v>119</v>
      </c>
      <c r="F28" s="24" t="s">
        <v>57</v>
      </c>
      <c r="G28" s="24" t="s">
        <v>118</v>
      </c>
      <c r="H28" s="24" t="s">
        <v>132</v>
      </c>
      <c r="I28" s="24" t="s">
        <v>59</v>
      </c>
      <c r="J28" s="24" t="s">
        <v>133</v>
      </c>
    </row>
    <row r="29" spans="1:11" ht="15.75" customHeight="1" x14ac:dyDescent="0.25">
      <c r="A29" s="11">
        <v>3</v>
      </c>
      <c r="B29" s="11"/>
      <c r="C29" s="11"/>
      <c r="D29" s="11" t="s">
        <v>24</v>
      </c>
      <c r="E29" s="8">
        <f>+E30+E36+E45+E50</f>
        <v>757919</v>
      </c>
      <c r="F29" s="8">
        <f t="shared" ref="F29" si="3">+F30+F36+F45+F50</f>
        <v>795704</v>
      </c>
      <c r="G29" s="8" t="e">
        <f t="shared" ref="G29:I29" si="4">+G30+G36+G45+G50</f>
        <v>#REF!</v>
      </c>
      <c r="H29" s="8">
        <f t="shared" si="4"/>
        <v>985367.4</v>
      </c>
      <c r="I29" s="8">
        <f t="shared" si="4"/>
        <v>940100.02</v>
      </c>
      <c r="J29" s="8">
        <f t="shared" ref="J29" si="5">+J30+J36+J45+J50</f>
        <v>940100.02</v>
      </c>
    </row>
    <row r="30" spans="1:11" ht="15.75" customHeight="1" x14ac:dyDescent="0.25">
      <c r="A30" s="11"/>
      <c r="B30" s="16">
        <v>31</v>
      </c>
      <c r="C30" s="16"/>
      <c r="D30" s="16" t="s">
        <v>25</v>
      </c>
      <c r="E30" s="9">
        <f t="shared" ref="E30:G30" si="6">SUM(E31:E35)</f>
        <v>650661</v>
      </c>
      <c r="F30" s="9">
        <f>SUM(F31:F35)</f>
        <v>679585</v>
      </c>
      <c r="G30" s="9">
        <f t="shared" si="6"/>
        <v>163835</v>
      </c>
      <c r="H30" s="9">
        <f>SUM(H31:H35)</f>
        <v>843420</v>
      </c>
      <c r="I30" s="9">
        <f t="shared" ref="I30:J30" si="7">SUM(I31:I35)</f>
        <v>843420</v>
      </c>
      <c r="J30" s="9">
        <f t="shared" si="7"/>
        <v>843420</v>
      </c>
    </row>
    <row r="31" spans="1:11" x14ac:dyDescent="0.25">
      <c r="A31" s="12"/>
      <c r="B31" s="12"/>
      <c r="C31" s="13">
        <v>11001</v>
      </c>
      <c r="D31" s="13" t="s">
        <v>90</v>
      </c>
      <c r="E31" s="8">
        <v>625</v>
      </c>
      <c r="F31" s="9">
        <v>0</v>
      </c>
      <c r="G31" s="9">
        <f t="shared" ref="G31:G56" si="8">+H31-F31</f>
        <v>0</v>
      </c>
      <c r="H31" s="9">
        <v>0</v>
      </c>
      <c r="I31" s="9">
        <v>0</v>
      </c>
      <c r="J31" s="9">
        <v>0</v>
      </c>
    </row>
    <row r="32" spans="1:11" ht="25.5" x14ac:dyDescent="0.25">
      <c r="A32" s="12"/>
      <c r="B32" s="12"/>
      <c r="C32" s="13">
        <v>53082</v>
      </c>
      <c r="D32" s="18" t="s">
        <v>120</v>
      </c>
      <c r="E32" s="8">
        <v>620269</v>
      </c>
      <c r="F32" s="9">
        <v>648720</v>
      </c>
      <c r="G32" s="9">
        <f t="shared" si="8"/>
        <v>194700</v>
      </c>
      <c r="H32" s="9">
        <v>843420</v>
      </c>
      <c r="I32" s="9">
        <v>843420</v>
      </c>
      <c r="J32" s="9">
        <v>843420</v>
      </c>
    </row>
    <row r="33" spans="1:10" x14ac:dyDescent="0.25">
      <c r="A33" s="12"/>
      <c r="B33" s="12"/>
      <c r="C33" s="13">
        <v>51100</v>
      </c>
      <c r="D33" s="13" t="s">
        <v>112</v>
      </c>
      <c r="E33" s="8">
        <v>2518</v>
      </c>
      <c r="F33" s="9">
        <v>0</v>
      </c>
      <c r="G33" s="9">
        <f t="shared" si="8"/>
        <v>0</v>
      </c>
      <c r="H33" s="9">
        <v>0</v>
      </c>
      <c r="I33" s="9">
        <v>0</v>
      </c>
      <c r="J33" s="9">
        <v>0</v>
      </c>
    </row>
    <row r="34" spans="1:10" x14ac:dyDescent="0.25">
      <c r="A34" s="12"/>
      <c r="B34" s="12"/>
      <c r="C34" s="13">
        <v>51001</v>
      </c>
      <c r="D34" s="13" t="s">
        <v>98</v>
      </c>
      <c r="E34" s="8">
        <v>0</v>
      </c>
      <c r="F34" s="9">
        <v>2285</v>
      </c>
      <c r="G34" s="9">
        <f t="shared" si="8"/>
        <v>-2285</v>
      </c>
      <c r="H34" s="9">
        <v>0</v>
      </c>
      <c r="I34" s="9">
        <v>0</v>
      </c>
      <c r="J34" s="9">
        <v>0</v>
      </c>
    </row>
    <row r="35" spans="1:10" x14ac:dyDescent="0.25">
      <c r="A35" s="12"/>
      <c r="B35" s="12"/>
      <c r="C35" s="13">
        <v>58400</v>
      </c>
      <c r="D35" s="18" t="s">
        <v>121</v>
      </c>
      <c r="E35" s="8">
        <v>27249</v>
      </c>
      <c r="F35" s="9">
        <v>28580</v>
      </c>
      <c r="G35" s="9">
        <f t="shared" si="8"/>
        <v>-28580</v>
      </c>
      <c r="H35" s="9">
        <v>0</v>
      </c>
      <c r="I35" s="9">
        <v>0</v>
      </c>
      <c r="J35" s="9">
        <v>0</v>
      </c>
    </row>
    <row r="36" spans="1:10" x14ac:dyDescent="0.25">
      <c r="A36" s="12"/>
      <c r="B36" s="12">
        <v>32</v>
      </c>
      <c r="C36" s="13"/>
      <c r="D36" s="12" t="s">
        <v>40</v>
      </c>
      <c r="E36" s="9">
        <f t="shared" ref="E36:G36" si="9">SUM(E37:E44)</f>
        <v>105114</v>
      </c>
      <c r="F36" s="9">
        <f>SUM(F37:F44)</f>
        <v>115615</v>
      </c>
      <c r="G36" s="9">
        <f t="shared" si="9"/>
        <v>25932.400000000001</v>
      </c>
      <c r="H36" s="9">
        <f>SUM(H37:H44)</f>
        <v>141547.4</v>
      </c>
      <c r="I36" s="9">
        <f t="shared" ref="I36:J36" si="10">SUM(I37:I44)</f>
        <v>96280.01999999999</v>
      </c>
      <c r="J36" s="9">
        <f t="shared" si="10"/>
        <v>96280.01999999999</v>
      </c>
    </row>
    <row r="37" spans="1:10" x14ac:dyDescent="0.25">
      <c r="A37" s="12"/>
      <c r="B37" s="12"/>
      <c r="C37" s="13">
        <v>11001</v>
      </c>
      <c r="D37" s="13" t="s">
        <v>90</v>
      </c>
      <c r="E37" s="8">
        <v>1327</v>
      </c>
      <c r="F37" s="9">
        <v>9439</v>
      </c>
      <c r="G37" s="9">
        <f t="shared" si="8"/>
        <v>873</v>
      </c>
      <c r="H37" s="9">
        <v>10312</v>
      </c>
      <c r="I37" s="9">
        <v>9712.01</v>
      </c>
      <c r="J37" s="9">
        <v>9712.01</v>
      </c>
    </row>
    <row r="38" spans="1:10" ht="25.5" x14ac:dyDescent="0.25">
      <c r="A38" s="12"/>
      <c r="B38" s="12"/>
      <c r="C38" s="13">
        <v>53082</v>
      </c>
      <c r="D38" s="18" t="s">
        <v>120</v>
      </c>
      <c r="E38" s="8">
        <v>4181</v>
      </c>
      <c r="F38" s="9">
        <v>27</v>
      </c>
      <c r="G38" s="9">
        <f t="shared" si="8"/>
        <v>-27</v>
      </c>
      <c r="H38" s="9">
        <v>0</v>
      </c>
      <c r="I38" s="9">
        <v>0</v>
      </c>
      <c r="J38" s="9">
        <v>0</v>
      </c>
    </row>
    <row r="39" spans="1:10" x14ac:dyDescent="0.25">
      <c r="A39" s="12"/>
      <c r="B39" s="12"/>
      <c r="C39" s="13">
        <v>51100</v>
      </c>
      <c r="D39" s="13" t="s">
        <v>112</v>
      </c>
      <c r="E39" s="8">
        <v>73</v>
      </c>
      <c r="F39" s="9">
        <v>0</v>
      </c>
      <c r="G39" s="9">
        <f t="shared" si="8"/>
        <v>0</v>
      </c>
      <c r="H39" s="9">
        <v>0</v>
      </c>
      <c r="I39" s="9">
        <v>0</v>
      </c>
      <c r="J39" s="9">
        <v>0</v>
      </c>
    </row>
    <row r="40" spans="1:10" x14ac:dyDescent="0.25">
      <c r="A40" s="12"/>
      <c r="B40" s="12"/>
      <c r="C40" s="13">
        <v>58400</v>
      </c>
      <c r="D40" s="18" t="s">
        <v>121</v>
      </c>
      <c r="E40" s="8">
        <v>13051</v>
      </c>
      <c r="F40" s="9">
        <v>13440</v>
      </c>
      <c r="G40" s="9">
        <f t="shared" si="8"/>
        <v>31226.400000000001</v>
      </c>
      <c r="H40" s="9">
        <v>44666.400000000001</v>
      </c>
      <c r="I40" s="9">
        <v>0</v>
      </c>
      <c r="J40" s="9">
        <v>0</v>
      </c>
    </row>
    <row r="41" spans="1:10" x14ac:dyDescent="0.25">
      <c r="A41" s="12"/>
      <c r="B41" s="12"/>
      <c r="C41" s="13">
        <v>48007</v>
      </c>
      <c r="D41" s="13" t="s">
        <v>75</v>
      </c>
      <c r="E41" s="8">
        <v>79153</v>
      </c>
      <c r="F41" s="9">
        <v>79732</v>
      </c>
      <c r="G41" s="9">
        <f t="shared" si="8"/>
        <v>0</v>
      </c>
      <c r="H41" s="9">
        <v>79732</v>
      </c>
      <c r="I41" s="9">
        <v>79731.009999999995</v>
      </c>
      <c r="J41" s="9">
        <v>79731.009999999995</v>
      </c>
    </row>
    <row r="42" spans="1:10" x14ac:dyDescent="0.25">
      <c r="A42" s="12"/>
      <c r="B42" s="12"/>
      <c r="C42" s="13">
        <v>32400</v>
      </c>
      <c r="D42" s="13" t="s">
        <v>81</v>
      </c>
      <c r="E42" s="8">
        <v>7227</v>
      </c>
      <c r="F42" s="9">
        <v>5837</v>
      </c>
      <c r="G42" s="9">
        <f t="shared" si="8"/>
        <v>0</v>
      </c>
      <c r="H42" s="9">
        <v>5837</v>
      </c>
      <c r="I42" s="9">
        <v>5837</v>
      </c>
      <c r="J42" s="9">
        <v>5837</v>
      </c>
    </row>
    <row r="43" spans="1:10" ht="25.5" x14ac:dyDescent="0.25">
      <c r="A43" s="12"/>
      <c r="B43" s="12"/>
      <c r="C43" s="13">
        <v>53080</v>
      </c>
      <c r="D43" s="18" t="s">
        <v>124</v>
      </c>
      <c r="E43" s="8">
        <v>102</v>
      </c>
      <c r="F43" s="9">
        <v>0</v>
      </c>
      <c r="G43" s="9">
        <f t="shared" si="8"/>
        <v>0</v>
      </c>
      <c r="H43" s="9">
        <v>0</v>
      </c>
      <c r="I43" s="9">
        <v>0</v>
      </c>
      <c r="J43" s="9">
        <v>0</v>
      </c>
    </row>
    <row r="44" spans="1:10" x14ac:dyDescent="0.25">
      <c r="A44" s="12"/>
      <c r="B44" s="12"/>
      <c r="C44" s="13">
        <v>47400</v>
      </c>
      <c r="D44" s="18" t="s">
        <v>82</v>
      </c>
      <c r="E44" s="8">
        <v>0</v>
      </c>
      <c r="F44" s="9">
        <v>7140</v>
      </c>
      <c r="G44" s="9">
        <f t="shared" si="8"/>
        <v>-6140</v>
      </c>
      <c r="H44" s="9">
        <v>1000</v>
      </c>
      <c r="I44" s="9">
        <v>1000</v>
      </c>
      <c r="J44" s="9">
        <v>1000</v>
      </c>
    </row>
    <row r="45" spans="1:10" x14ac:dyDescent="0.25">
      <c r="A45" s="12"/>
      <c r="B45" s="12">
        <v>34</v>
      </c>
      <c r="C45" s="13"/>
      <c r="D45" s="12" t="s">
        <v>71</v>
      </c>
      <c r="E45" s="9">
        <f t="shared" ref="E45" si="11">SUM(E46:E49)</f>
        <v>2144</v>
      </c>
      <c r="F45" s="9">
        <f>SUM(F46:F49)</f>
        <v>500</v>
      </c>
      <c r="G45" s="9" t="e">
        <f t="shared" ref="G45:H45" si="12">SUM(G46:G49)</f>
        <v>#REF!</v>
      </c>
      <c r="H45" s="9">
        <f t="shared" si="12"/>
        <v>400</v>
      </c>
      <c r="I45" s="9">
        <f t="shared" ref="I45" si="13">SUM(I46:I49)</f>
        <v>400</v>
      </c>
      <c r="J45" s="9">
        <f t="shared" ref="J45" si="14">SUM(J46:J49)</f>
        <v>400</v>
      </c>
    </row>
    <row r="46" spans="1:10" ht="25.5" x14ac:dyDescent="0.25">
      <c r="A46" s="12"/>
      <c r="B46" s="12"/>
      <c r="C46" s="13">
        <v>53082</v>
      </c>
      <c r="D46" s="18" t="s">
        <v>120</v>
      </c>
      <c r="E46" s="8">
        <v>1499</v>
      </c>
      <c r="F46" s="9">
        <v>0</v>
      </c>
      <c r="G46" s="9" t="e">
        <f>+H46-#REF!</f>
        <v>#REF!</v>
      </c>
      <c r="H46" s="9">
        <v>0</v>
      </c>
      <c r="I46" s="111">
        <v>0</v>
      </c>
      <c r="J46" s="9">
        <v>0</v>
      </c>
    </row>
    <row r="47" spans="1:10" x14ac:dyDescent="0.25">
      <c r="A47" s="12"/>
      <c r="B47" s="12"/>
      <c r="C47" s="13">
        <v>58400</v>
      </c>
      <c r="D47" s="18" t="s">
        <v>121</v>
      </c>
      <c r="E47" s="8">
        <v>158</v>
      </c>
      <c r="F47" s="9">
        <v>100</v>
      </c>
      <c r="G47" s="9">
        <f t="shared" si="8"/>
        <v>-100</v>
      </c>
      <c r="H47" s="9">
        <v>0</v>
      </c>
      <c r="I47" s="9">
        <v>0</v>
      </c>
      <c r="J47" s="9">
        <v>0</v>
      </c>
    </row>
    <row r="48" spans="1:10" x14ac:dyDescent="0.25">
      <c r="A48" s="12"/>
      <c r="B48" s="12"/>
      <c r="C48" s="13">
        <v>48007</v>
      </c>
      <c r="D48" s="13" t="s">
        <v>75</v>
      </c>
      <c r="E48" s="8">
        <v>374</v>
      </c>
      <c r="F48" s="8">
        <v>400</v>
      </c>
      <c r="G48" s="8">
        <f t="shared" si="8"/>
        <v>0</v>
      </c>
      <c r="H48" s="8">
        <v>400</v>
      </c>
      <c r="I48" s="8">
        <v>400</v>
      </c>
      <c r="J48" s="8">
        <v>400</v>
      </c>
    </row>
    <row r="49" spans="1:10" x14ac:dyDescent="0.25">
      <c r="A49" s="12"/>
      <c r="B49" s="12"/>
      <c r="C49" s="13">
        <v>32400</v>
      </c>
      <c r="D49" s="13" t="s">
        <v>81</v>
      </c>
      <c r="E49" s="8">
        <v>113</v>
      </c>
      <c r="F49" s="8">
        <v>0</v>
      </c>
      <c r="G49" s="8"/>
      <c r="H49" s="8">
        <v>0</v>
      </c>
      <c r="I49" s="8">
        <v>0</v>
      </c>
      <c r="J49" s="8">
        <v>0</v>
      </c>
    </row>
    <row r="50" spans="1:10" x14ac:dyDescent="0.25">
      <c r="A50" s="12"/>
      <c r="B50" s="12">
        <v>38</v>
      </c>
      <c r="C50" s="13"/>
      <c r="D50" s="12" t="s">
        <v>71</v>
      </c>
      <c r="E50" s="8">
        <f>+E51</f>
        <v>0</v>
      </c>
      <c r="F50" s="8">
        <f t="shared" ref="F50:J50" si="15">+F51</f>
        <v>4</v>
      </c>
      <c r="G50" s="8">
        <f t="shared" si="15"/>
        <v>-4</v>
      </c>
      <c r="H50" s="8">
        <f t="shared" si="15"/>
        <v>0</v>
      </c>
      <c r="I50" s="8">
        <f t="shared" si="15"/>
        <v>0</v>
      </c>
      <c r="J50" s="8">
        <f t="shared" si="15"/>
        <v>0</v>
      </c>
    </row>
    <row r="51" spans="1:10" ht="38.25" x14ac:dyDescent="0.25">
      <c r="A51" s="12"/>
      <c r="B51" s="12"/>
      <c r="C51" s="13">
        <v>53102</v>
      </c>
      <c r="D51" s="18" t="s">
        <v>131</v>
      </c>
      <c r="E51" s="8">
        <v>0</v>
      </c>
      <c r="F51" s="9">
        <v>4</v>
      </c>
      <c r="G51" s="9">
        <f t="shared" si="8"/>
        <v>-4</v>
      </c>
      <c r="H51" s="9">
        <v>0</v>
      </c>
      <c r="I51" s="9">
        <v>0</v>
      </c>
      <c r="J51" s="9">
        <v>0</v>
      </c>
    </row>
    <row r="52" spans="1:10" ht="25.5" x14ac:dyDescent="0.25">
      <c r="A52" s="14">
        <v>4</v>
      </c>
      <c r="B52" s="15"/>
      <c r="C52" s="15"/>
      <c r="D52" s="29" t="s">
        <v>26</v>
      </c>
      <c r="E52" s="8">
        <f t="shared" ref="E52:G52" si="16">+E53</f>
        <v>3554</v>
      </c>
      <c r="F52" s="8">
        <f>+F53</f>
        <v>227389</v>
      </c>
      <c r="G52" s="8">
        <f t="shared" si="16"/>
        <v>-221295</v>
      </c>
      <c r="H52" s="8">
        <f>+H53</f>
        <v>6094</v>
      </c>
      <c r="I52" s="8">
        <f t="shared" ref="I52:J52" si="17">+I53</f>
        <v>764</v>
      </c>
      <c r="J52" s="8">
        <f t="shared" si="17"/>
        <v>764</v>
      </c>
    </row>
    <row r="53" spans="1:10" ht="25.5" x14ac:dyDescent="0.25">
      <c r="A53" s="16"/>
      <c r="B53" s="16">
        <v>42</v>
      </c>
      <c r="C53" s="16"/>
      <c r="D53" s="30" t="s">
        <v>65</v>
      </c>
      <c r="E53" s="9">
        <f t="shared" ref="E53:G53" si="18">SUM(E54:E60)</f>
        <v>3554</v>
      </c>
      <c r="F53" s="9">
        <f>SUM(F54:F60)</f>
        <v>227389</v>
      </c>
      <c r="G53" s="9">
        <f t="shared" si="18"/>
        <v>-221295</v>
      </c>
      <c r="H53" s="9">
        <f>SUM(H54:H60)</f>
        <v>6094</v>
      </c>
      <c r="I53" s="9">
        <f t="shared" ref="I53" si="19">SUM(I54:I60)</f>
        <v>764</v>
      </c>
      <c r="J53" s="9">
        <f t="shared" ref="J53" si="20">SUM(J54:J60)</f>
        <v>764</v>
      </c>
    </row>
    <row r="54" spans="1:10" x14ac:dyDescent="0.25">
      <c r="A54" s="16"/>
      <c r="B54" s="16"/>
      <c r="C54" s="13">
        <v>11001</v>
      </c>
      <c r="D54" s="13" t="s">
        <v>90</v>
      </c>
      <c r="E54" s="8">
        <v>531</v>
      </c>
      <c r="F54" s="9">
        <v>30177</v>
      </c>
      <c r="G54" s="9">
        <f t="shared" si="8"/>
        <v>-29847</v>
      </c>
      <c r="H54" s="9">
        <v>330</v>
      </c>
      <c r="I54" s="9">
        <v>0</v>
      </c>
      <c r="J54" s="9">
        <v>0</v>
      </c>
    </row>
    <row r="55" spans="1:10" ht="25.5" x14ac:dyDescent="0.25">
      <c r="A55" s="12"/>
      <c r="B55" s="12"/>
      <c r="C55" s="13">
        <v>53082</v>
      </c>
      <c r="D55" s="18" t="s">
        <v>120</v>
      </c>
      <c r="E55" s="8">
        <v>431</v>
      </c>
      <c r="F55" s="9">
        <v>0</v>
      </c>
      <c r="G55" s="9">
        <f t="shared" si="8"/>
        <v>0</v>
      </c>
      <c r="H55" s="9">
        <v>0</v>
      </c>
      <c r="I55" s="9">
        <v>0</v>
      </c>
      <c r="J55" s="9">
        <v>0</v>
      </c>
    </row>
    <row r="56" spans="1:10" x14ac:dyDescent="0.25">
      <c r="A56" s="12"/>
      <c r="B56" s="12"/>
      <c r="C56" s="13">
        <v>32400</v>
      </c>
      <c r="D56" s="13" t="s">
        <v>81</v>
      </c>
      <c r="E56" s="8">
        <v>1540</v>
      </c>
      <c r="F56" s="9">
        <v>15288</v>
      </c>
      <c r="G56" s="9">
        <f t="shared" si="8"/>
        <v>-14624</v>
      </c>
      <c r="H56" s="9">
        <v>664</v>
      </c>
      <c r="I56" s="9">
        <v>664</v>
      </c>
      <c r="J56" s="9">
        <v>664</v>
      </c>
    </row>
    <row r="57" spans="1:10" ht="25.5" x14ac:dyDescent="0.25">
      <c r="A57" s="12"/>
      <c r="B57" s="12"/>
      <c r="C57" s="13">
        <v>48008</v>
      </c>
      <c r="D57" s="18" t="s">
        <v>122</v>
      </c>
      <c r="E57" s="8">
        <v>1052</v>
      </c>
      <c r="F57" s="9">
        <v>0</v>
      </c>
      <c r="G57" s="9"/>
      <c r="H57" s="9">
        <v>0</v>
      </c>
      <c r="I57" s="9">
        <v>0</v>
      </c>
      <c r="J57" s="9">
        <v>0</v>
      </c>
    </row>
    <row r="58" spans="1:10" x14ac:dyDescent="0.25">
      <c r="A58" s="12"/>
      <c r="B58" s="12"/>
      <c r="C58" s="13">
        <v>51100</v>
      </c>
      <c r="D58" s="13" t="s">
        <v>112</v>
      </c>
      <c r="E58" s="8">
        <v>0</v>
      </c>
      <c r="F58" s="9">
        <v>176798</v>
      </c>
      <c r="G58" s="9">
        <f t="shared" ref="G58:G59" si="21">+H58-F58</f>
        <v>-176798</v>
      </c>
      <c r="H58" s="9">
        <v>0</v>
      </c>
      <c r="I58" s="9">
        <v>0</v>
      </c>
      <c r="J58" s="9">
        <v>0</v>
      </c>
    </row>
    <row r="59" spans="1:10" x14ac:dyDescent="0.25">
      <c r="A59" s="12"/>
      <c r="B59" s="12"/>
      <c r="C59" s="13">
        <v>47400</v>
      </c>
      <c r="D59" s="18" t="s">
        <v>82</v>
      </c>
      <c r="E59" s="8">
        <v>0</v>
      </c>
      <c r="F59" s="9">
        <v>100</v>
      </c>
      <c r="G59" s="9">
        <f t="shared" si="21"/>
        <v>0</v>
      </c>
      <c r="H59" s="9">
        <v>100</v>
      </c>
      <c r="I59" s="9">
        <v>100</v>
      </c>
      <c r="J59" s="9">
        <v>100</v>
      </c>
    </row>
    <row r="60" spans="1:10" x14ac:dyDescent="0.25">
      <c r="A60" s="12"/>
      <c r="B60" s="12"/>
      <c r="C60" s="13">
        <v>58400</v>
      </c>
      <c r="D60" s="18" t="s">
        <v>121</v>
      </c>
      <c r="E60" s="8">
        <v>0</v>
      </c>
      <c r="F60" s="9">
        <v>5026</v>
      </c>
      <c r="G60" s="9">
        <f t="shared" ref="G60" si="22">+H60-F60</f>
        <v>-26</v>
      </c>
      <c r="H60" s="9">
        <v>5000</v>
      </c>
      <c r="I60" s="9">
        <v>0</v>
      </c>
      <c r="J60" s="9">
        <v>0</v>
      </c>
    </row>
  </sheetData>
  <mergeCells count="5">
    <mergeCell ref="A1:J1"/>
    <mergeCell ref="A2:J2"/>
    <mergeCell ref="A3:J3"/>
    <mergeCell ref="A4:J4"/>
    <mergeCell ref="A26:J26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B1" workbookViewId="0">
      <selection activeCell="E10" sqref="E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14" t="s">
        <v>64</v>
      </c>
      <c r="B1" s="114"/>
      <c r="C1" s="114"/>
      <c r="D1" s="114"/>
      <c r="E1" s="114"/>
      <c r="F1" s="114"/>
      <c r="G1" s="114"/>
      <c r="H1" s="114"/>
      <c r="I1" s="114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14" t="s">
        <v>37</v>
      </c>
      <c r="B3" s="114"/>
      <c r="C3" s="114"/>
      <c r="D3" s="114"/>
      <c r="E3" s="114"/>
      <c r="F3" s="114"/>
      <c r="G3" s="114"/>
      <c r="H3" s="115"/>
      <c r="I3" s="115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14" t="s">
        <v>15</v>
      </c>
      <c r="B5" s="116"/>
      <c r="C5" s="116"/>
      <c r="D5" s="116"/>
      <c r="E5" s="116"/>
      <c r="F5" s="116"/>
      <c r="G5" s="116"/>
      <c r="H5" s="116"/>
      <c r="I5" s="116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15.75" x14ac:dyDescent="0.25">
      <c r="A7" s="114" t="s">
        <v>1</v>
      </c>
      <c r="B7" s="135"/>
      <c r="C7" s="135"/>
      <c r="D7" s="135"/>
      <c r="E7" s="135"/>
      <c r="F7" s="135"/>
      <c r="G7" s="135"/>
      <c r="H7" s="135"/>
      <c r="I7" s="135"/>
    </row>
    <row r="8" spans="1:9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9" ht="25.5" x14ac:dyDescent="0.25">
      <c r="A9" s="24" t="s">
        <v>16</v>
      </c>
      <c r="B9" s="23" t="s">
        <v>17</v>
      </c>
      <c r="C9" s="23" t="s">
        <v>18</v>
      </c>
      <c r="D9" s="23" t="s">
        <v>14</v>
      </c>
      <c r="E9" s="23" t="s">
        <v>12</v>
      </c>
      <c r="F9" s="24" t="s">
        <v>13</v>
      </c>
      <c r="G9" s="24" t="s">
        <v>57</v>
      </c>
      <c r="H9" s="24" t="s">
        <v>58</v>
      </c>
      <c r="I9" s="24" t="s">
        <v>59</v>
      </c>
    </row>
    <row r="10" spans="1:9" ht="15.75" customHeight="1" x14ac:dyDescent="0.25">
      <c r="A10" s="11">
        <v>6</v>
      </c>
      <c r="B10" s="11"/>
      <c r="C10" s="11"/>
      <c r="D10" s="11" t="s">
        <v>19</v>
      </c>
      <c r="E10" s="8">
        <f>+E11+E13+E15</f>
        <v>5634736.54</v>
      </c>
      <c r="F10" s="8">
        <f t="shared" ref="F10:I10" si="0">+F11+F13+F15</f>
        <v>6811657</v>
      </c>
      <c r="G10" s="8">
        <f t="shared" si="0"/>
        <v>6838814.6799999997</v>
      </c>
      <c r="H10" s="8">
        <f t="shared" si="0"/>
        <v>5554621.7699999996</v>
      </c>
      <c r="I10" s="8">
        <f t="shared" si="0"/>
        <v>5554621.7699999996</v>
      </c>
    </row>
    <row r="11" spans="1:9" ht="38.25" x14ac:dyDescent="0.25">
      <c r="A11" s="11"/>
      <c r="B11" s="16">
        <v>63</v>
      </c>
      <c r="C11" s="16"/>
      <c r="D11" s="16" t="s">
        <v>61</v>
      </c>
      <c r="E11" s="8">
        <f>5036205.54</f>
        <v>5036205.54</v>
      </c>
      <c r="F11" s="9">
        <f>5024353</f>
        <v>5024353</v>
      </c>
      <c r="G11" s="9">
        <f>6196807.46</f>
        <v>6196807.46</v>
      </c>
      <c r="H11" s="9">
        <f>4910354.2</f>
        <v>4910354.2</v>
      </c>
      <c r="I11" s="9">
        <f>4910354.2</f>
        <v>4910354.2</v>
      </c>
    </row>
    <row r="12" spans="1:9" x14ac:dyDescent="0.25">
      <c r="A12" s="12"/>
      <c r="B12" s="12"/>
      <c r="C12" s="13">
        <v>52</v>
      </c>
      <c r="D12" s="13" t="s">
        <v>63</v>
      </c>
      <c r="E12" s="8"/>
      <c r="F12" s="9"/>
      <c r="G12" s="9"/>
      <c r="H12" s="9"/>
      <c r="I12" s="9"/>
    </row>
    <row r="13" spans="1:9" ht="38.25" x14ac:dyDescent="0.25">
      <c r="A13" s="11"/>
      <c r="B13" s="16">
        <v>66</v>
      </c>
      <c r="C13" s="16"/>
      <c r="D13" s="16" t="s">
        <v>70</v>
      </c>
      <c r="E13" s="8">
        <f>57656</f>
        <v>57656</v>
      </c>
      <c r="F13" s="9">
        <f>65000</f>
        <v>65000</v>
      </c>
      <c r="G13" s="9">
        <f>48981.79</f>
        <v>48981.79</v>
      </c>
      <c r="H13" s="9">
        <f>51242.14</f>
        <v>51242.14</v>
      </c>
      <c r="I13" s="9">
        <f>51242.14</f>
        <v>51242.14</v>
      </c>
    </row>
    <row r="14" spans="1:9" ht="14.45" x14ac:dyDescent="0.3">
      <c r="A14" s="12"/>
      <c r="B14" s="12"/>
      <c r="C14" s="13">
        <v>31</v>
      </c>
      <c r="D14" s="13" t="s">
        <v>44</v>
      </c>
      <c r="E14" s="8"/>
      <c r="F14" s="9"/>
      <c r="G14" s="9"/>
      <c r="H14" s="9"/>
      <c r="I14" s="9"/>
    </row>
    <row r="15" spans="1:9" ht="38.25" x14ac:dyDescent="0.25">
      <c r="A15" s="12"/>
      <c r="B15" s="12">
        <v>67</v>
      </c>
      <c r="C15" s="13"/>
      <c r="D15" s="16" t="s">
        <v>62</v>
      </c>
      <c r="E15" s="8">
        <f>540875</f>
        <v>540875</v>
      </c>
      <c r="F15" s="9">
        <f>1722304</f>
        <v>1722304</v>
      </c>
      <c r="G15" s="9">
        <f>593025.43</f>
        <v>593025.43000000005</v>
      </c>
      <c r="H15" s="9">
        <f>593025.43</f>
        <v>593025.43000000005</v>
      </c>
      <c r="I15" s="9">
        <f>593025.43</f>
        <v>593025.43000000005</v>
      </c>
    </row>
    <row r="16" spans="1:9" x14ac:dyDescent="0.25">
      <c r="A16" s="12"/>
      <c r="B16" s="12"/>
      <c r="C16" s="13">
        <v>11</v>
      </c>
      <c r="D16" s="13" t="s">
        <v>20</v>
      </c>
      <c r="E16" s="8"/>
      <c r="F16" s="9"/>
      <c r="G16" s="9"/>
      <c r="H16" s="9"/>
      <c r="I16" s="9"/>
    </row>
    <row r="17" spans="1:9" ht="26.45" x14ac:dyDescent="0.3">
      <c r="A17" s="14">
        <v>7</v>
      </c>
      <c r="B17" s="15"/>
      <c r="C17" s="15"/>
      <c r="D17" s="29" t="s">
        <v>21</v>
      </c>
      <c r="E17" s="8">
        <f>+E18</f>
        <v>0</v>
      </c>
      <c r="F17" s="8">
        <f t="shared" ref="F17:I17" si="1">+F18</f>
        <v>80500</v>
      </c>
      <c r="G17" s="8">
        <f t="shared" si="1"/>
        <v>0</v>
      </c>
      <c r="H17" s="8">
        <f t="shared" si="1"/>
        <v>0</v>
      </c>
      <c r="I17" s="8">
        <f t="shared" si="1"/>
        <v>0</v>
      </c>
    </row>
    <row r="18" spans="1:9" ht="39.6" x14ac:dyDescent="0.3">
      <c r="A18" s="16"/>
      <c r="B18" s="16">
        <v>72</v>
      </c>
      <c r="C18" s="16"/>
      <c r="D18" s="30" t="s">
        <v>60</v>
      </c>
      <c r="E18" s="8">
        <v>0</v>
      </c>
      <c r="F18" s="9">
        <f>80500</f>
        <v>80500</v>
      </c>
      <c r="G18" s="9">
        <v>0</v>
      </c>
      <c r="H18" s="9">
        <v>0</v>
      </c>
      <c r="I18" s="10">
        <v>0</v>
      </c>
    </row>
    <row r="19" spans="1:9" x14ac:dyDescent="0.25">
      <c r="A19" s="16"/>
      <c r="B19" s="16"/>
      <c r="C19" s="13">
        <v>11</v>
      </c>
      <c r="D19" s="13" t="s">
        <v>20</v>
      </c>
      <c r="E19" s="8"/>
      <c r="F19" s="9"/>
      <c r="G19" s="9"/>
      <c r="H19" s="9"/>
      <c r="I19" s="10"/>
    </row>
    <row r="20" spans="1:9" ht="14.45" x14ac:dyDescent="0.3">
      <c r="E20" s="84">
        <f>+E10+E17</f>
        <v>5634736.54</v>
      </c>
      <c r="F20" s="84">
        <f t="shared" ref="F20:I20" si="2">+F10+F17</f>
        <v>6892157</v>
      </c>
      <c r="G20" s="84">
        <f t="shared" si="2"/>
        <v>6838814.6799999997</v>
      </c>
      <c r="H20" s="84">
        <f t="shared" si="2"/>
        <v>5554621.7699999996</v>
      </c>
      <c r="I20" s="84">
        <f t="shared" si="2"/>
        <v>5554621.7699999996</v>
      </c>
    </row>
    <row r="21" spans="1:9" ht="15.6" x14ac:dyDescent="0.3">
      <c r="A21" s="114" t="s">
        <v>22</v>
      </c>
      <c r="B21" s="135"/>
      <c r="C21" s="135"/>
      <c r="D21" s="135"/>
      <c r="E21" s="135"/>
      <c r="F21" s="135"/>
      <c r="G21" s="135"/>
      <c r="H21" s="135"/>
      <c r="I21" s="135"/>
    </row>
    <row r="22" spans="1:9" ht="17.45" x14ac:dyDescent="0.3">
      <c r="A22" s="4"/>
      <c r="B22" s="4"/>
      <c r="C22" s="4"/>
      <c r="D22" s="4"/>
      <c r="E22" s="4"/>
      <c r="F22" s="4"/>
      <c r="G22" s="4"/>
      <c r="H22" s="5"/>
      <c r="I22" s="5"/>
    </row>
    <row r="23" spans="1:9" ht="25.5" x14ac:dyDescent="0.25">
      <c r="A23" s="24" t="s">
        <v>16</v>
      </c>
      <c r="B23" s="23" t="s">
        <v>17</v>
      </c>
      <c r="C23" s="23" t="s">
        <v>18</v>
      </c>
      <c r="D23" s="23" t="s">
        <v>23</v>
      </c>
      <c r="E23" s="23" t="s">
        <v>12</v>
      </c>
      <c r="F23" s="24" t="s">
        <v>13</v>
      </c>
      <c r="G23" s="24" t="s">
        <v>57</v>
      </c>
      <c r="H23" s="24" t="s">
        <v>58</v>
      </c>
      <c r="I23" s="24" t="s">
        <v>59</v>
      </c>
    </row>
    <row r="24" spans="1:9" ht="15.75" customHeight="1" x14ac:dyDescent="0.3">
      <c r="A24" s="11">
        <v>3</v>
      </c>
      <c r="B24" s="11"/>
      <c r="C24" s="11"/>
      <c r="D24" s="11" t="s">
        <v>24</v>
      </c>
      <c r="E24" s="8">
        <f>+E25+E27+E29</f>
        <v>5558630.9700000007</v>
      </c>
      <c r="F24" s="8">
        <f t="shared" ref="F24:I24" si="3">+F25+F27+F29</f>
        <v>5738980</v>
      </c>
      <c r="G24" s="8">
        <f t="shared" si="3"/>
        <v>5836729.1399999997</v>
      </c>
      <c r="H24" s="8">
        <f t="shared" si="3"/>
        <v>5552361.4199999999</v>
      </c>
      <c r="I24" s="8">
        <f t="shared" si="3"/>
        <v>5552361.4199999999</v>
      </c>
    </row>
    <row r="25" spans="1:9" ht="15.75" customHeight="1" x14ac:dyDescent="0.25">
      <c r="A25" s="11"/>
      <c r="B25" s="16">
        <v>31</v>
      </c>
      <c r="C25" s="16"/>
      <c r="D25" s="16" t="s">
        <v>25</v>
      </c>
      <c r="E25" s="8">
        <f>4823676.36</f>
        <v>4823676.3600000003</v>
      </c>
      <c r="F25" s="9">
        <f>(4637330+229100+4678+18901)</f>
        <v>4890009</v>
      </c>
      <c r="G25" s="9">
        <f>+(4887780.84+215336.01)</f>
        <v>5103116.8499999996</v>
      </c>
      <c r="H25" s="9">
        <f>+(4887780.84)</f>
        <v>4887780.84</v>
      </c>
      <c r="I25" s="9">
        <f>+(4887780.84)</f>
        <v>4887780.84</v>
      </c>
    </row>
    <row r="26" spans="1:9" x14ac:dyDescent="0.25">
      <c r="A26" s="12"/>
      <c r="B26" s="12"/>
      <c r="C26" s="13">
        <v>11</v>
      </c>
      <c r="D26" s="13" t="s">
        <v>20</v>
      </c>
      <c r="E26" s="8"/>
      <c r="F26" s="9"/>
      <c r="G26" s="9"/>
      <c r="H26" s="9"/>
      <c r="I26" s="9"/>
    </row>
    <row r="27" spans="1:9" x14ac:dyDescent="0.25">
      <c r="A27" s="12"/>
      <c r="B27" s="12">
        <v>32</v>
      </c>
      <c r="C27" s="13"/>
      <c r="D27" s="12" t="s">
        <v>40</v>
      </c>
      <c r="E27" s="8">
        <f>689847.79</f>
        <v>689847.79</v>
      </c>
      <c r="F27" s="9">
        <f>+(304489+275539+65000+29380+22570+766+51000+73845+10000+155+627)</f>
        <v>833371</v>
      </c>
      <c r="G27" s="9">
        <f>+(306360.3+275536.67+48984.79+22573.36+3013.8+65261.46+9998.28)</f>
        <v>731728.66</v>
      </c>
      <c r="H27" s="9">
        <f>+(306360.3+275536.67+48981.79+22573.36+9998.28)</f>
        <v>663450.4</v>
      </c>
      <c r="I27" s="9">
        <f>+(306360.3+275536.67+48981.79+22573.36+9998.28)</f>
        <v>663450.4</v>
      </c>
    </row>
    <row r="28" spans="1:9" x14ac:dyDescent="0.25">
      <c r="A28" s="12"/>
      <c r="B28" s="12"/>
      <c r="C28" s="13">
        <v>11</v>
      </c>
      <c r="D28" s="13" t="s">
        <v>20</v>
      </c>
      <c r="E28" s="8"/>
      <c r="F28" s="9"/>
      <c r="G28" s="9"/>
      <c r="H28" s="9"/>
      <c r="I28" s="9"/>
    </row>
    <row r="29" spans="1:9" x14ac:dyDescent="0.25">
      <c r="A29" s="12"/>
      <c r="B29" s="12">
        <v>34</v>
      </c>
      <c r="C29" s="13"/>
      <c r="D29" s="12" t="s">
        <v>71</v>
      </c>
      <c r="E29" s="8">
        <f>45106.82</f>
        <v>45106.82</v>
      </c>
      <c r="F29" s="9">
        <f>+(3000+11800+800)</f>
        <v>15600</v>
      </c>
      <c r="G29" s="9">
        <f>+(1130.18+753.45)</f>
        <v>1883.63</v>
      </c>
      <c r="H29" s="9">
        <f>+(1130.18)</f>
        <v>1130.18</v>
      </c>
      <c r="I29" s="9">
        <f>+(1130.18)</f>
        <v>1130.18</v>
      </c>
    </row>
    <row r="30" spans="1:9" x14ac:dyDescent="0.25">
      <c r="A30" s="12"/>
      <c r="B30" s="12"/>
      <c r="C30" s="13">
        <v>11</v>
      </c>
      <c r="D30" s="13" t="s">
        <v>20</v>
      </c>
      <c r="E30" s="8"/>
      <c r="F30" s="9"/>
      <c r="G30" s="9"/>
      <c r="H30" s="9"/>
      <c r="I30" s="9"/>
    </row>
    <row r="31" spans="1:9" ht="25.5" x14ac:dyDescent="0.25">
      <c r="A31" s="14">
        <v>4</v>
      </c>
      <c r="B31" s="15"/>
      <c r="C31" s="15"/>
      <c r="D31" s="29" t="s">
        <v>26</v>
      </c>
      <c r="E31" s="8">
        <f>+E32</f>
        <v>31369.74</v>
      </c>
      <c r="F31" s="8">
        <f t="shared" ref="F31:I31" si="4">+F32</f>
        <v>1275723</v>
      </c>
      <c r="G31" s="8">
        <f t="shared" si="4"/>
        <v>1162013.8399999999</v>
      </c>
      <c r="H31" s="8">
        <f t="shared" si="4"/>
        <v>2260.35</v>
      </c>
      <c r="I31" s="8">
        <f t="shared" si="4"/>
        <v>2260.35</v>
      </c>
    </row>
    <row r="32" spans="1:9" ht="38.25" x14ac:dyDescent="0.25">
      <c r="A32" s="16"/>
      <c r="B32" s="16">
        <v>42</v>
      </c>
      <c r="C32" s="16"/>
      <c r="D32" s="30" t="s">
        <v>65</v>
      </c>
      <c r="E32" s="8">
        <f>31369.74</f>
        <v>31369.74</v>
      </c>
      <c r="F32" s="9">
        <f>+(80500+1073443+121780)</f>
        <v>1275723</v>
      </c>
      <c r="G32" s="9">
        <f>+(12055.2+1002088.5+37866.44+110003.7)</f>
        <v>1162013.8399999999</v>
      </c>
      <c r="H32" s="9">
        <f>2260.35</f>
        <v>2260.35</v>
      </c>
      <c r="I32" s="9">
        <f>2260.35</f>
        <v>2260.35</v>
      </c>
    </row>
    <row r="33" spans="1:9" x14ac:dyDescent="0.25">
      <c r="A33" s="16"/>
      <c r="B33" s="16"/>
      <c r="C33" s="13">
        <v>11</v>
      </c>
      <c r="D33" s="13" t="s">
        <v>20</v>
      </c>
      <c r="E33" s="8"/>
      <c r="F33" s="9"/>
      <c r="G33" s="9"/>
      <c r="H33" s="9"/>
      <c r="I33" s="10"/>
    </row>
    <row r="34" spans="1:9" x14ac:dyDescent="0.25">
      <c r="E34" s="84">
        <f>+E24+E31</f>
        <v>5590000.7100000009</v>
      </c>
      <c r="F34" s="84">
        <f t="shared" ref="F34:I34" si="5">+F24+F31</f>
        <v>7014703</v>
      </c>
      <c r="G34" s="84">
        <f t="shared" si="5"/>
        <v>6998742.9799999995</v>
      </c>
      <c r="H34" s="84">
        <f t="shared" si="5"/>
        <v>5554621.7699999996</v>
      </c>
      <c r="I34" s="84">
        <f t="shared" si="5"/>
        <v>5554621.7699999996</v>
      </c>
    </row>
  </sheetData>
  <mergeCells count="5">
    <mergeCell ref="A7:I7"/>
    <mergeCell ref="A21:I21"/>
    <mergeCell ref="A1:I1"/>
    <mergeCell ref="A3:I3"/>
    <mergeCell ref="A5:I5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zoomScale="120" zoomScaleNormal="120" workbookViewId="0">
      <selection activeCell="D82" sqref="D82"/>
    </sheetView>
  </sheetViews>
  <sheetFormatPr defaultColWidth="8.85546875" defaultRowHeight="15" x14ac:dyDescent="0.25"/>
  <cols>
    <col min="1" max="1" width="12" style="56" customWidth="1"/>
    <col min="2" max="2" width="8.42578125" style="56" hidden="1" customWidth="1"/>
    <col min="3" max="3" width="8.7109375" style="56" hidden="1" customWidth="1"/>
    <col min="4" max="4" width="39.140625" style="56" bestFit="1" customWidth="1"/>
    <col min="5" max="5" width="11.28515625" style="56" hidden="1" customWidth="1"/>
    <col min="6" max="6" width="14" style="56" bestFit="1" customWidth="1"/>
    <col min="7" max="7" width="11.28515625" style="56" hidden="1" customWidth="1"/>
    <col min="8" max="8" width="9.85546875" style="56" hidden="1" customWidth="1"/>
    <col min="9" max="9" width="11.28515625" style="56" hidden="1" customWidth="1"/>
    <col min="10" max="10" width="12.42578125" style="56" bestFit="1" customWidth="1"/>
    <col min="11" max="11" width="12.42578125" style="56" hidden="1" customWidth="1"/>
    <col min="12" max="12" width="12.42578125" style="56" customWidth="1"/>
    <col min="13" max="13" width="11.28515625" style="56" hidden="1" customWidth="1"/>
    <col min="14" max="14" width="11.28515625" style="56" bestFit="1" customWidth="1"/>
    <col min="15" max="15" width="12.140625" style="56" hidden="1" customWidth="1"/>
    <col min="16" max="16" width="12.140625" style="56" customWidth="1"/>
    <col min="17" max="16384" width="8.85546875" style="56"/>
  </cols>
  <sheetData>
    <row r="1" spans="1:16" ht="42" customHeight="1" x14ac:dyDescent="0.3">
      <c r="A1" s="114" t="str">
        <f>+SAŽETAK!A1</f>
        <v>FINANCIJSKI PLAN INDUSTRIJSKO-OBRTNIČKE ŠKOLE PULA
ZA 2024. I PROJEKCIJA ZA 2025. I 2026. GODINU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6" ht="17.45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5"/>
      <c r="N2" s="5"/>
      <c r="O2" s="5"/>
      <c r="P2" s="5"/>
    </row>
    <row r="3" spans="1:16" ht="18" customHeight="1" x14ac:dyDescent="0.3">
      <c r="A3" s="114" t="s">
        <v>36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6" ht="17.45" x14ac:dyDescent="0.3">
      <c r="A4" s="28"/>
      <c r="B4" s="28"/>
      <c r="C4" s="28"/>
      <c r="D4" s="28"/>
      <c r="E4" s="28"/>
      <c r="F4" s="28"/>
      <c r="G4" s="28"/>
      <c r="H4" s="28"/>
      <c r="I4" s="28"/>
      <c r="J4" s="89"/>
      <c r="K4" s="89"/>
      <c r="L4" s="89"/>
      <c r="M4" s="5"/>
      <c r="N4" s="5"/>
      <c r="O4" s="5"/>
      <c r="P4" s="5"/>
    </row>
    <row r="5" spans="1:16" ht="25.5" x14ac:dyDescent="0.25">
      <c r="A5" s="163" t="s">
        <v>38</v>
      </c>
      <c r="B5" s="164"/>
      <c r="C5" s="165"/>
      <c r="D5" s="57" t="s">
        <v>39</v>
      </c>
      <c r="F5" s="57" t="s">
        <v>119</v>
      </c>
      <c r="H5" s="58" t="s">
        <v>13</v>
      </c>
      <c r="J5" s="58" t="s">
        <v>57</v>
      </c>
      <c r="K5" s="58" t="s">
        <v>118</v>
      </c>
      <c r="L5" s="58" t="s">
        <v>132</v>
      </c>
      <c r="N5" s="58" t="s">
        <v>59</v>
      </c>
      <c r="O5" s="58" t="s">
        <v>59</v>
      </c>
      <c r="P5" s="58" t="s">
        <v>133</v>
      </c>
    </row>
    <row r="6" spans="1:16" ht="14.45" hidden="1" x14ac:dyDescent="0.3">
      <c r="A6" s="166" t="s">
        <v>45</v>
      </c>
      <c r="B6" s="167"/>
      <c r="C6" s="168"/>
      <c r="D6" s="59" t="s">
        <v>46</v>
      </c>
      <c r="E6" s="60"/>
      <c r="F6" s="60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ht="14.45" hidden="1" x14ac:dyDescent="0.3">
      <c r="A7" s="166" t="s">
        <v>47</v>
      </c>
      <c r="B7" s="167"/>
      <c r="C7" s="168"/>
      <c r="D7" s="59" t="s">
        <v>48</v>
      </c>
      <c r="E7" s="60"/>
      <c r="F7" s="60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4.45" hidden="1" x14ac:dyDescent="0.3">
      <c r="A8" s="159" t="s">
        <v>49</v>
      </c>
      <c r="B8" s="160"/>
      <c r="C8" s="161"/>
      <c r="D8" s="62" t="s">
        <v>50</v>
      </c>
      <c r="E8" s="60"/>
      <c r="F8" s="60"/>
      <c r="G8" s="61"/>
      <c r="H8" s="61"/>
      <c r="I8" s="61"/>
      <c r="J8" s="61"/>
      <c r="K8" s="61"/>
      <c r="L8" s="61"/>
      <c r="M8" s="61"/>
      <c r="N8" s="61"/>
      <c r="O8" s="61"/>
      <c r="P8" s="63"/>
    </row>
    <row r="9" spans="1:16" ht="14.45" hidden="1" x14ac:dyDescent="0.3">
      <c r="A9" s="153">
        <v>3</v>
      </c>
      <c r="B9" s="154"/>
      <c r="C9" s="155"/>
      <c r="D9" s="64" t="s">
        <v>24</v>
      </c>
      <c r="E9" s="60"/>
      <c r="F9" s="60"/>
      <c r="G9" s="61"/>
      <c r="H9" s="61"/>
      <c r="I9" s="61"/>
      <c r="J9" s="61"/>
      <c r="K9" s="61"/>
      <c r="L9" s="61"/>
      <c r="M9" s="61"/>
      <c r="N9" s="61"/>
      <c r="O9" s="61"/>
      <c r="P9" s="63"/>
    </row>
    <row r="10" spans="1:16" ht="14.45" hidden="1" x14ac:dyDescent="0.3">
      <c r="A10" s="156">
        <v>31</v>
      </c>
      <c r="B10" s="157"/>
      <c r="C10" s="158"/>
      <c r="D10" s="64" t="s">
        <v>25</v>
      </c>
      <c r="E10" s="60"/>
      <c r="F10" s="60"/>
      <c r="G10" s="61"/>
      <c r="H10" s="61"/>
      <c r="I10" s="61"/>
      <c r="J10" s="61"/>
      <c r="K10" s="61"/>
      <c r="L10" s="61"/>
      <c r="M10" s="61"/>
      <c r="N10" s="61"/>
      <c r="O10" s="61"/>
      <c r="P10" s="63"/>
    </row>
    <row r="11" spans="1:16" ht="14.45" hidden="1" x14ac:dyDescent="0.3">
      <c r="A11" s="156">
        <v>32</v>
      </c>
      <c r="B11" s="157"/>
      <c r="C11" s="158"/>
      <c r="D11" s="64" t="s">
        <v>40</v>
      </c>
      <c r="E11" s="60"/>
      <c r="F11" s="60"/>
      <c r="G11" s="61"/>
      <c r="H11" s="61"/>
      <c r="I11" s="61"/>
      <c r="J11" s="61"/>
      <c r="K11" s="61"/>
      <c r="L11" s="61"/>
      <c r="M11" s="61"/>
      <c r="N11" s="61"/>
      <c r="O11" s="61"/>
      <c r="P11" s="63"/>
    </row>
    <row r="12" spans="1:16" ht="14.45" hidden="1" x14ac:dyDescent="0.3">
      <c r="A12" s="166" t="s">
        <v>45</v>
      </c>
      <c r="B12" s="167"/>
      <c r="C12" s="168"/>
      <c r="D12" s="59" t="s">
        <v>46</v>
      </c>
      <c r="E12" s="60"/>
      <c r="F12" s="60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16" ht="14.25" hidden="1" customHeight="1" x14ac:dyDescent="0.3">
      <c r="A13" s="166" t="s">
        <v>51</v>
      </c>
      <c r="B13" s="167"/>
      <c r="C13" s="168"/>
      <c r="D13" s="59" t="s">
        <v>52</v>
      </c>
      <c r="E13" s="60"/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1:16" ht="15" hidden="1" customHeight="1" x14ac:dyDescent="0.3">
      <c r="A14" s="159" t="s">
        <v>49</v>
      </c>
      <c r="B14" s="160"/>
      <c r="C14" s="161"/>
      <c r="D14" s="62" t="s">
        <v>50</v>
      </c>
      <c r="E14" s="60"/>
      <c r="F14" s="60"/>
      <c r="G14" s="61"/>
      <c r="H14" s="61"/>
      <c r="I14" s="61"/>
      <c r="J14" s="61"/>
      <c r="K14" s="61"/>
      <c r="L14" s="61"/>
      <c r="M14" s="61"/>
      <c r="N14" s="61"/>
      <c r="O14" s="61"/>
      <c r="P14" s="63"/>
    </row>
    <row r="15" spans="1:16" ht="14.45" hidden="1" x14ac:dyDescent="0.3">
      <c r="A15" s="153">
        <v>3</v>
      </c>
      <c r="B15" s="154"/>
      <c r="C15" s="155"/>
      <c r="D15" s="64" t="s">
        <v>24</v>
      </c>
      <c r="E15" s="60"/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3"/>
    </row>
    <row r="16" spans="1:16" ht="14.45" hidden="1" x14ac:dyDescent="0.3">
      <c r="A16" s="156">
        <v>32</v>
      </c>
      <c r="B16" s="157"/>
      <c r="C16" s="158"/>
      <c r="D16" s="64" t="s">
        <v>40</v>
      </c>
      <c r="E16" s="60"/>
      <c r="F16" s="60"/>
      <c r="G16" s="61"/>
      <c r="H16" s="61"/>
      <c r="I16" s="61"/>
      <c r="J16" s="61"/>
      <c r="K16" s="61"/>
      <c r="L16" s="61"/>
      <c r="M16" s="61"/>
      <c r="N16" s="61"/>
      <c r="O16" s="61"/>
      <c r="P16" s="63"/>
    </row>
    <row r="17" spans="1:21" ht="15" hidden="1" customHeight="1" x14ac:dyDescent="0.3">
      <c r="A17" s="159" t="s">
        <v>49</v>
      </c>
      <c r="B17" s="160"/>
      <c r="C17" s="161"/>
      <c r="D17" s="62" t="s">
        <v>50</v>
      </c>
      <c r="E17" s="60"/>
      <c r="F17" s="60"/>
      <c r="G17" s="61"/>
      <c r="H17" s="61"/>
      <c r="I17" s="61"/>
      <c r="J17" s="61"/>
      <c r="K17" s="61"/>
      <c r="L17" s="61"/>
      <c r="M17" s="61"/>
      <c r="N17" s="61"/>
      <c r="O17" s="61"/>
      <c r="P17" s="63"/>
    </row>
    <row r="18" spans="1:21" ht="14.45" hidden="1" x14ac:dyDescent="0.3">
      <c r="A18" s="153">
        <v>4</v>
      </c>
      <c r="B18" s="154"/>
      <c r="C18" s="155"/>
      <c r="D18" s="64" t="s">
        <v>26</v>
      </c>
      <c r="E18" s="60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3"/>
    </row>
    <row r="19" spans="1:21" ht="26.45" hidden="1" x14ac:dyDescent="0.3">
      <c r="A19" s="156">
        <v>42</v>
      </c>
      <c r="B19" s="157"/>
      <c r="C19" s="158"/>
      <c r="D19" s="64" t="s">
        <v>65</v>
      </c>
      <c r="E19" s="60"/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3"/>
    </row>
    <row r="20" spans="1:21" s="55" customFormat="1" ht="16.5" x14ac:dyDescent="0.25">
      <c r="A20" s="140" t="s">
        <v>113</v>
      </c>
      <c r="B20" s="141"/>
      <c r="C20" s="142"/>
      <c r="D20" s="65" t="s">
        <v>114</v>
      </c>
      <c r="E20" s="66">
        <f>+E21+E51+E102+E118</f>
        <v>5590000.71</v>
      </c>
      <c r="F20" s="96">
        <f>+F21+F51+F102+F118+F93</f>
        <v>761473.21000000008</v>
      </c>
      <c r="G20" s="96">
        <f>+G21+G51+G102+G118</f>
        <v>7014703</v>
      </c>
      <c r="H20" s="96">
        <f>+G20/7.5345</f>
        <v>931011.08235450252</v>
      </c>
      <c r="I20" s="96">
        <f>+I21+I51+I102+I118</f>
        <v>6998739.9799999995</v>
      </c>
      <c r="J20" s="96">
        <f>+J21+J51+J102+J118+J93</f>
        <v>1023092.62</v>
      </c>
      <c r="K20" s="96">
        <f>+K21+K51+K102+K118+K93+0.01</f>
        <v>-32232.129999999917</v>
      </c>
      <c r="L20" s="96">
        <f>+L21+L51+L102+L118+L93</f>
        <v>991460.4800000001</v>
      </c>
      <c r="M20" s="96">
        <f>+M21+M51+M102+M118</f>
        <v>5554621.7699999996</v>
      </c>
      <c r="N20" s="96">
        <f t="shared" ref="N20:P20" si="0">+N21+N51+N102+N118+N93</f>
        <v>940864.08000000007</v>
      </c>
      <c r="O20" s="96">
        <f t="shared" si="0"/>
        <v>1023092.62</v>
      </c>
      <c r="P20" s="104">
        <f t="shared" si="0"/>
        <v>940864.08000000007</v>
      </c>
      <c r="Q20" s="56"/>
      <c r="R20" s="56"/>
      <c r="S20" s="56"/>
      <c r="T20" s="56"/>
      <c r="U20" s="56"/>
    </row>
    <row r="21" spans="1:21" ht="27.6" x14ac:dyDescent="0.3">
      <c r="A21" s="140">
        <v>2201</v>
      </c>
      <c r="B21" s="141"/>
      <c r="C21" s="142"/>
      <c r="D21" s="67" t="s">
        <v>72</v>
      </c>
      <c r="E21" s="68">
        <f>+E22+E27+E31+E45</f>
        <v>5274328.2700000005</v>
      </c>
      <c r="F21" s="97">
        <f t="shared" ref="F21" si="1">+F22+F27+F31+F45</f>
        <v>710213.07000000007</v>
      </c>
      <c r="G21" s="97">
        <f t="shared" ref="G21:P21" si="2">+G22+G27+G31+G45</f>
        <v>5407038</v>
      </c>
      <c r="H21" s="97">
        <f t="shared" ref="H21" si="3">+G21/7.5345</f>
        <v>717637.26856460283</v>
      </c>
      <c r="I21" s="97">
        <f t="shared" si="2"/>
        <v>5531844.9799999995</v>
      </c>
      <c r="J21" s="97">
        <f t="shared" ref="J21:L21" si="4">+J22+J27+J31+J45</f>
        <v>742591.59</v>
      </c>
      <c r="K21" s="97">
        <f t="shared" ref="K21:K104" si="5">+L21-J21</f>
        <v>188560.4800000001</v>
      </c>
      <c r="L21" s="97">
        <f t="shared" si="4"/>
        <v>931152.07000000007</v>
      </c>
      <c r="M21" s="97">
        <f t="shared" si="2"/>
        <v>5522050.1299999999</v>
      </c>
      <c r="N21" s="97">
        <f t="shared" si="2"/>
        <v>931152.07000000007</v>
      </c>
      <c r="O21" s="97">
        <f t="shared" si="2"/>
        <v>742591.59</v>
      </c>
      <c r="P21" s="105">
        <f t="shared" si="2"/>
        <v>931152.07000000007</v>
      </c>
    </row>
    <row r="22" spans="1:21" s="78" customFormat="1" ht="14.45" x14ac:dyDescent="0.3">
      <c r="A22" s="150" t="s">
        <v>73</v>
      </c>
      <c r="B22" s="151"/>
      <c r="C22" s="152"/>
      <c r="D22" s="69" t="s">
        <v>74</v>
      </c>
      <c r="E22" s="80">
        <f>+E23</f>
        <v>300943.08</v>
      </c>
      <c r="F22" s="98">
        <f t="shared" ref="F22:P23" si="6">+F23</f>
        <v>40810.85</v>
      </c>
      <c r="G22" s="98">
        <f t="shared" si="6"/>
        <v>307489</v>
      </c>
      <c r="H22" s="98">
        <f t="shared" ref="H22" si="7">+G22/7.5345</f>
        <v>40810.803636604949</v>
      </c>
      <c r="I22" s="98">
        <f t="shared" si="6"/>
        <v>307490.48</v>
      </c>
      <c r="J22" s="98">
        <f t="shared" si="6"/>
        <v>42252.24</v>
      </c>
      <c r="K22" s="98">
        <f t="shared" si="5"/>
        <v>0</v>
      </c>
      <c r="L22" s="98">
        <f t="shared" si="6"/>
        <v>42252.24</v>
      </c>
      <c r="M22" s="98">
        <f t="shared" si="6"/>
        <v>307490.48</v>
      </c>
      <c r="N22" s="98">
        <f t="shared" si="6"/>
        <v>42252.24</v>
      </c>
      <c r="O22" s="98">
        <f t="shared" si="6"/>
        <v>42252.24</v>
      </c>
      <c r="P22" s="106">
        <f t="shared" si="6"/>
        <v>42252.24</v>
      </c>
    </row>
    <row r="23" spans="1:21" s="78" customFormat="1" x14ac:dyDescent="0.25">
      <c r="A23" s="145">
        <v>48007</v>
      </c>
      <c r="B23" s="146"/>
      <c r="C23" s="147"/>
      <c r="D23" s="69" t="s">
        <v>75</v>
      </c>
      <c r="E23" s="80">
        <v>300943.08</v>
      </c>
      <c r="F23" s="98">
        <f>+F24</f>
        <v>40810.85</v>
      </c>
      <c r="G23" s="98">
        <v>307489</v>
      </c>
      <c r="H23" s="98">
        <f t="shared" ref="H23" si="8">+G23/7.5345</f>
        <v>40810.803636604949</v>
      </c>
      <c r="I23" s="98">
        <v>307490.48</v>
      </c>
      <c r="J23" s="98">
        <f>+J24</f>
        <v>42252.24</v>
      </c>
      <c r="K23" s="98">
        <f t="shared" si="5"/>
        <v>0</v>
      </c>
      <c r="L23" s="98">
        <f>+L24</f>
        <v>42252.24</v>
      </c>
      <c r="M23" s="98">
        <v>307490.48</v>
      </c>
      <c r="N23" s="98">
        <f t="shared" si="6"/>
        <v>42252.24</v>
      </c>
      <c r="O23" s="98">
        <f t="shared" si="6"/>
        <v>42252.24</v>
      </c>
      <c r="P23" s="106">
        <f t="shared" si="6"/>
        <v>42252.24</v>
      </c>
    </row>
    <row r="24" spans="1:21" s="79" customFormat="1" ht="14.45" x14ac:dyDescent="0.3">
      <c r="A24" s="43">
        <v>3</v>
      </c>
      <c r="B24" s="51"/>
      <c r="C24" s="51"/>
      <c r="D24" s="44" t="s">
        <v>22</v>
      </c>
      <c r="E24" s="45">
        <v>300943.08</v>
      </c>
      <c r="F24" s="99">
        <f>SUM(F25:F26)</f>
        <v>40810.85</v>
      </c>
      <c r="G24" s="99">
        <v>307489</v>
      </c>
      <c r="H24" s="99">
        <f t="shared" ref="H24" si="9">+G24/7.5345</f>
        <v>40810.803636604949</v>
      </c>
      <c r="I24" s="99">
        <v>307490.48</v>
      </c>
      <c r="J24" s="99">
        <f>SUM(J25:J26)</f>
        <v>42252.24</v>
      </c>
      <c r="K24" s="99">
        <f t="shared" si="5"/>
        <v>0</v>
      </c>
      <c r="L24" s="99">
        <f>SUM(L25:L26)</f>
        <v>42252.24</v>
      </c>
      <c r="M24" s="99">
        <v>307490.48</v>
      </c>
      <c r="N24" s="99">
        <f t="shared" ref="N24:P24" si="10">SUM(N25:N26)</f>
        <v>42252.24</v>
      </c>
      <c r="O24" s="99">
        <f t="shared" si="10"/>
        <v>42252.24</v>
      </c>
      <c r="P24" s="107">
        <f t="shared" si="10"/>
        <v>42252.24</v>
      </c>
    </row>
    <row r="25" spans="1:21" s="79" customFormat="1" ht="14.45" x14ac:dyDescent="0.3">
      <c r="A25" s="43">
        <v>32</v>
      </c>
      <c r="B25" s="51"/>
      <c r="C25" s="51"/>
      <c r="D25" s="44" t="s">
        <v>40</v>
      </c>
      <c r="E25" s="45">
        <v>296713.47000000003</v>
      </c>
      <c r="F25" s="99">
        <v>40436.57</v>
      </c>
      <c r="G25" s="99">
        <v>304489</v>
      </c>
      <c r="H25" s="99">
        <f t="shared" ref="H25" si="11">+G25/7.5345</f>
        <v>40412.63521136107</v>
      </c>
      <c r="I25" s="99">
        <v>306360.3</v>
      </c>
      <c r="J25" s="99">
        <v>41852.239999999998</v>
      </c>
      <c r="K25" s="99">
        <f t="shared" si="5"/>
        <v>0</v>
      </c>
      <c r="L25" s="99">
        <v>41852.239999999998</v>
      </c>
      <c r="M25" s="99">
        <v>306360.3</v>
      </c>
      <c r="N25" s="99">
        <v>41852.239999999998</v>
      </c>
      <c r="O25" s="99">
        <v>41852.239999999998</v>
      </c>
      <c r="P25" s="107">
        <v>41852.239999999998</v>
      </c>
    </row>
    <row r="26" spans="1:21" s="79" customFormat="1" ht="14.45" x14ac:dyDescent="0.3">
      <c r="A26" s="43">
        <v>34</v>
      </c>
      <c r="B26" s="51"/>
      <c r="C26" s="51"/>
      <c r="D26" s="47" t="s">
        <v>76</v>
      </c>
      <c r="E26" s="45">
        <v>4229.6099999999997</v>
      </c>
      <c r="F26" s="99">
        <v>374.28</v>
      </c>
      <c r="G26" s="99">
        <v>3000</v>
      </c>
      <c r="H26" s="99">
        <f t="shared" ref="H26" si="12">+G26/7.5345</f>
        <v>398.16842524387812</v>
      </c>
      <c r="I26" s="99">
        <v>1130.18</v>
      </c>
      <c r="J26" s="99">
        <v>400</v>
      </c>
      <c r="K26" s="99">
        <f t="shared" si="5"/>
        <v>0</v>
      </c>
      <c r="L26" s="99">
        <v>400</v>
      </c>
      <c r="M26" s="99">
        <v>1130.18</v>
      </c>
      <c r="N26" s="99">
        <v>400</v>
      </c>
      <c r="O26" s="99">
        <v>400</v>
      </c>
      <c r="P26" s="107">
        <v>400</v>
      </c>
    </row>
    <row r="27" spans="1:21" s="78" customFormat="1" x14ac:dyDescent="0.25">
      <c r="A27" s="150" t="s">
        <v>77</v>
      </c>
      <c r="B27" s="151"/>
      <c r="C27" s="152"/>
      <c r="D27" s="69" t="s">
        <v>78</v>
      </c>
      <c r="E27" s="80">
        <f>+E28</f>
        <v>235037.32</v>
      </c>
      <c r="F27" s="98">
        <f t="shared" ref="F27:P29" si="13">+F28</f>
        <v>36245.599999999999</v>
      </c>
      <c r="G27" s="98">
        <f t="shared" si="13"/>
        <v>275539</v>
      </c>
      <c r="H27" s="98">
        <f t="shared" ref="H27" si="14">+G27/7.5345</f>
        <v>36570.309907757648</v>
      </c>
      <c r="I27" s="98">
        <f t="shared" si="13"/>
        <v>275536.67</v>
      </c>
      <c r="J27" s="98">
        <f t="shared" si="13"/>
        <v>37878.83</v>
      </c>
      <c r="K27" s="98">
        <f t="shared" si="5"/>
        <v>0</v>
      </c>
      <c r="L27" s="98">
        <f t="shared" si="13"/>
        <v>37878.83</v>
      </c>
      <c r="M27" s="98">
        <f t="shared" si="13"/>
        <v>275536.67</v>
      </c>
      <c r="N27" s="98">
        <f t="shared" si="13"/>
        <v>37878.83</v>
      </c>
      <c r="O27" s="98">
        <f t="shared" si="13"/>
        <v>37878.83</v>
      </c>
      <c r="P27" s="106">
        <f t="shared" si="13"/>
        <v>37878.83</v>
      </c>
    </row>
    <row r="28" spans="1:21" s="78" customFormat="1" x14ac:dyDescent="0.25">
      <c r="A28" s="145">
        <v>48007</v>
      </c>
      <c r="B28" s="146"/>
      <c r="C28" s="147"/>
      <c r="D28" s="69" t="s">
        <v>75</v>
      </c>
      <c r="E28" s="80">
        <v>235037.32</v>
      </c>
      <c r="F28" s="98">
        <f>+F29</f>
        <v>36245.599999999999</v>
      </c>
      <c r="G28" s="98">
        <v>275539</v>
      </c>
      <c r="H28" s="98">
        <f t="shared" ref="H28" si="15">+G28/7.5345</f>
        <v>36570.309907757648</v>
      </c>
      <c r="I28" s="98">
        <v>275536.67</v>
      </c>
      <c r="J28" s="98">
        <f>+J29</f>
        <v>37878.83</v>
      </c>
      <c r="K28" s="98">
        <f t="shared" si="5"/>
        <v>0</v>
      </c>
      <c r="L28" s="98">
        <f>+L29</f>
        <v>37878.83</v>
      </c>
      <c r="M28" s="98">
        <v>275536.67</v>
      </c>
      <c r="N28" s="98">
        <f t="shared" si="13"/>
        <v>37878.83</v>
      </c>
      <c r="O28" s="98">
        <f t="shared" si="13"/>
        <v>37878.83</v>
      </c>
      <c r="P28" s="106">
        <f t="shared" si="13"/>
        <v>37878.83</v>
      </c>
    </row>
    <row r="29" spans="1:21" s="79" customFormat="1" ht="14.45" x14ac:dyDescent="0.3">
      <c r="A29" s="43">
        <v>3</v>
      </c>
      <c r="B29" s="51"/>
      <c r="C29" s="51"/>
      <c r="D29" s="44" t="s">
        <v>22</v>
      </c>
      <c r="E29" s="45">
        <v>235037.32</v>
      </c>
      <c r="F29" s="99">
        <f>+F30</f>
        <v>36245.599999999999</v>
      </c>
      <c r="G29" s="99">
        <v>275539</v>
      </c>
      <c r="H29" s="99">
        <f t="shared" ref="H29" si="16">+G29/7.5345</f>
        <v>36570.309907757648</v>
      </c>
      <c r="I29" s="99">
        <v>275536.67</v>
      </c>
      <c r="J29" s="99">
        <f>+J30</f>
        <v>37878.83</v>
      </c>
      <c r="K29" s="99">
        <f t="shared" si="5"/>
        <v>0</v>
      </c>
      <c r="L29" s="99">
        <f>+L30</f>
        <v>37878.83</v>
      </c>
      <c r="M29" s="99">
        <v>275536.67</v>
      </c>
      <c r="N29" s="99">
        <f t="shared" si="13"/>
        <v>37878.83</v>
      </c>
      <c r="O29" s="99">
        <f t="shared" si="13"/>
        <v>37878.83</v>
      </c>
      <c r="P29" s="107">
        <f t="shared" si="13"/>
        <v>37878.83</v>
      </c>
    </row>
    <row r="30" spans="1:21" s="79" customFormat="1" ht="14.45" x14ac:dyDescent="0.3">
      <c r="A30" s="43">
        <v>32</v>
      </c>
      <c r="B30" s="51"/>
      <c r="C30" s="51"/>
      <c r="D30" s="44" t="s">
        <v>40</v>
      </c>
      <c r="E30" s="45">
        <v>235037.32</v>
      </c>
      <c r="F30" s="99">
        <v>36245.599999999999</v>
      </c>
      <c r="G30" s="99">
        <v>275539</v>
      </c>
      <c r="H30" s="99">
        <f t="shared" ref="H30" si="17">+G30/7.5345</f>
        <v>36570.309907757648</v>
      </c>
      <c r="I30" s="99">
        <v>275536.67</v>
      </c>
      <c r="J30" s="99">
        <v>37878.83</v>
      </c>
      <c r="K30" s="99">
        <f t="shared" si="5"/>
        <v>0</v>
      </c>
      <c r="L30" s="99">
        <v>37878.83</v>
      </c>
      <c r="M30" s="99">
        <v>275536.67</v>
      </c>
      <c r="N30" s="99">
        <v>37878.83</v>
      </c>
      <c r="O30" s="99">
        <v>37878.83</v>
      </c>
      <c r="P30" s="107">
        <v>37878.83</v>
      </c>
    </row>
    <row r="31" spans="1:21" s="78" customFormat="1" ht="14.45" x14ac:dyDescent="0.3">
      <c r="A31" s="150" t="s">
        <v>79</v>
      </c>
      <c r="B31" s="151"/>
      <c r="C31" s="152"/>
      <c r="D31" s="67" t="s">
        <v>80</v>
      </c>
      <c r="E31" s="80">
        <f>+E32+E37+E42</f>
        <v>57914.430000000008</v>
      </c>
      <c r="F31" s="98">
        <f t="shared" ref="F31" si="18">+F32+F37+F42</f>
        <v>7350.47</v>
      </c>
      <c r="G31" s="98">
        <f t="shared" ref="G31:P31" si="19">+G32+G37+G42</f>
        <v>145500</v>
      </c>
      <c r="H31" s="98">
        <f t="shared" ref="H31" si="20">+G31/7.5345</f>
        <v>19311.168624328089</v>
      </c>
      <c r="I31" s="98">
        <f t="shared" si="19"/>
        <v>61036.990000000005</v>
      </c>
      <c r="J31" s="98">
        <f t="shared" ref="J31:L31" si="21">+J32+J37+J42</f>
        <v>13740.52</v>
      </c>
      <c r="K31" s="98">
        <f t="shared" si="5"/>
        <v>-6139.52</v>
      </c>
      <c r="L31" s="98">
        <f t="shared" si="21"/>
        <v>7601</v>
      </c>
      <c r="M31" s="98">
        <f t="shared" si="19"/>
        <v>51242.14</v>
      </c>
      <c r="N31" s="98">
        <f t="shared" si="19"/>
        <v>7601</v>
      </c>
      <c r="O31" s="98">
        <f t="shared" si="19"/>
        <v>13740.52</v>
      </c>
      <c r="P31" s="106">
        <f t="shared" si="19"/>
        <v>7601</v>
      </c>
    </row>
    <row r="32" spans="1:21" s="78" customFormat="1" x14ac:dyDescent="0.25">
      <c r="A32" s="145">
        <v>32400</v>
      </c>
      <c r="B32" s="146"/>
      <c r="C32" s="147"/>
      <c r="D32" s="69" t="s">
        <v>81</v>
      </c>
      <c r="E32" s="80">
        <v>40190.240000000005</v>
      </c>
      <c r="F32" s="98">
        <f>+F33+F35</f>
        <v>6816.89</v>
      </c>
      <c r="G32" s="98">
        <v>65000</v>
      </c>
      <c r="H32" s="98">
        <f t="shared" ref="H32" si="22">+G32/7.5345</f>
        <v>8626.9825469506923</v>
      </c>
      <c r="I32" s="98">
        <v>48981.79</v>
      </c>
      <c r="J32" s="98">
        <f>+J33+J35</f>
        <v>6501</v>
      </c>
      <c r="K32" s="98">
        <f t="shared" si="5"/>
        <v>0</v>
      </c>
      <c r="L32" s="98">
        <f>+L33+L35</f>
        <v>6501</v>
      </c>
      <c r="M32" s="98">
        <v>48981.79</v>
      </c>
      <c r="N32" s="98">
        <f t="shared" ref="N32:P32" si="23">+N33+N35</f>
        <v>6501</v>
      </c>
      <c r="O32" s="98">
        <f t="shared" si="23"/>
        <v>6501</v>
      </c>
      <c r="P32" s="106">
        <f t="shared" si="23"/>
        <v>6501</v>
      </c>
    </row>
    <row r="33" spans="1:16" s="79" customFormat="1" ht="14.45" x14ac:dyDescent="0.3">
      <c r="A33" s="43">
        <v>3</v>
      </c>
      <c r="B33" s="51"/>
      <c r="C33" s="51"/>
      <c r="D33" s="44" t="s">
        <v>22</v>
      </c>
      <c r="E33" s="45">
        <v>40190.240000000005</v>
      </c>
      <c r="F33" s="99">
        <f>+F34</f>
        <v>6816.89</v>
      </c>
      <c r="G33" s="99">
        <v>65000</v>
      </c>
      <c r="H33" s="99">
        <f t="shared" ref="H33" si="24">+G33/7.5345</f>
        <v>8626.9825469506923</v>
      </c>
      <c r="I33" s="99">
        <v>48981.79</v>
      </c>
      <c r="J33" s="99">
        <f>+J34</f>
        <v>5837</v>
      </c>
      <c r="K33" s="99">
        <f t="shared" si="5"/>
        <v>0</v>
      </c>
      <c r="L33" s="99">
        <f>+L34</f>
        <v>5837</v>
      </c>
      <c r="M33" s="99">
        <v>48981.79</v>
      </c>
      <c r="N33" s="99">
        <f t="shared" ref="N33:P33" si="25">+N34</f>
        <v>5837</v>
      </c>
      <c r="O33" s="99">
        <f t="shared" si="25"/>
        <v>5837</v>
      </c>
      <c r="P33" s="107">
        <f t="shared" si="25"/>
        <v>5837</v>
      </c>
    </row>
    <row r="34" spans="1:16" s="79" customFormat="1" ht="14.45" x14ac:dyDescent="0.3">
      <c r="A34" s="43">
        <v>32</v>
      </c>
      <c r="B34" s="51"/>
      <c r="C34" s="51"/>
      <c r="D34" s="44" t="s">
        <v>40</v>
      </c>
      <c r="E34" s="45">
        <v>40190.240000000005</v>
      </c>
      <c r="F34" s="99">
        <v>6816.89</v>
      </c>
      <c r="G34" s="99">
        <v>65000</v>
      </c>
      <c r="H34" s="99">
        <f t="shared" ref="H34" si="26">+G34/7.5345</f>
        <v>8626.9825469506923</v>
      </c>
      <c r="I34" s="99">
        <v>48981.79</v>
      </c>
      <c r="J34" s="99">
        <v>5837</v>
      </c>
      <c r="K34" s="99">
        <f t="shared" si="5"/>
        <v>0</v>
      </c>
      <c r="L34" s="99">
        <v>5837</v>
      </c>
      <c r="M34" s="99">
        <v>48981.79</v>
      </c>
      <c r="N34" s="99">
        <v>5837</v>
      </c>
      <c r="O34" s="99">
        <v>5837</v>
      </c>
      <c r="P34" s="107">
        <v>5837</v>
      </c>
    </row>
    <row r="35" spans="1:16" s="79" customFormat="1" ht="14.45" x14ac:dyDescent="0.3">
      <c r="A35" s="43">
        <v>4</v>
      </c>
      <c r="B35" s="50"/>
      <c r="C35" s="50"/>
      <c r="D35" s="44" t="s">
        <v>5</v>
      </c>
      <c r="E35" s="91"/>
      <c r="F35" s="100">
        <f>+F36</f>
        <v>0</v>
      </c>
      <c r="G35" s="100">
        <v>0</v>
      </c>
      <c r="H35" s="100">
        <v>0</v>
      </c>
      <c r="I35" s="100">
        <v>0</v>
      </c>
      <c r="J35" s="100">
        <f>+J36</f>
        <v>664</v>
      </c>
      <c r="K35" s="100">
        <v>0</v>
      </c>
      <c r="L35" s="100">
        <f>+L36</f>
        <v>664</v>
      </c>
      <c r="M35" s="100"/>
      <c r="N35" s="100">
        <f t="shared" ref="N35:P35" si="27">+N36</f>
        <v>664</v>
      </c>
      <c r="O35" s="100">
        <f t="shared" si="27"/>
        <v>664</v>
      </c>
      <c r="P35" s="107">
        <f t="shared" si="27"/>
        <v>664</v>
      </c>
    </row>
    <row r="36" spans="1:16" s="79" customFormat="1" ht="14.45" x14ac:dyDescent="0.3">
      <c r="A36" s="43">
        <v>42</v>
      </c>
      <c r="B36" s="50"/>
      <c r="C36" s="50"/>
      <c r="D36" s="47" t="s">
        <v>115</v>
      </c>
      <c r="E36" s="91"/>
      <c r="F36" s="100">
        <v>0</v>
      </c>
      <c r="G36" s="100">
        <v>0</v>
      </c>
      <c r="H36" s="100">
        <v>0</v>
      </c>
      <c r="I36" s="100">
        <v>0</v>
      </c>
      <c r="J36" s="100">
        <v>664</v>
      </c>
      <c r="K36" s="100">
        <v>0</v>
      </c>
      <c r="L36" s="100">
        <v>664</v>
      </c>
      <c r="M36" s="100"/>
      <c r="N36" s="100">
        <v>664</v>
      </c>
      <c r="O36" s="100">
        <v>664</v>
      </c>
      <c r="P36" s="107">
        <v>664</v>
      </c>
    </row>
    <row r="37" spans="1:16" s="78" customFormat="1" x14ac:dyDescent="0.25">
      <c r="A37" s="138">
        <v>47400</v>
      </c>
      <c r="B37" s="148"/>
      <c r="C37" s="149"/>
      <c r="D37" s="69" t="s">
        <v>82</v>
      </c>
      <c r="E37" s="80">
        <v>7724.19</v>
      </c>
      <c r="F37" s="98">
        <f>+F38+F40</f>
        <v>533.58000000000004</v>
      </c>
      <c r="G37" s="98">
        <v>80500</v>
      </c>
      <c r="H37" s="98">
        <f t="shared" ref="H37" si="28">+G37/7.5345</f>
        <v>10684.186077377397</v>
      </c>
      <c r="I37" s="98">
        <v>12055.2</v>
      </c>
      <c r="J37" s="98">
        <f>+J38+J40</f>
        <v>7239.52</v>
      </c>
      <c r="K37" s="98">
        <f t="shared" si="5"/>
        <v>-6139.52</v>
      </c>
      <c r="L37" s="98">
        <f>+L38+L40</f>
        <v>1100</v>
      </c>
      <c r="M37" s="98">
        <v>2260.35</v>
      </c>
      <c r="N37" s="98">
        <f t="shared" ref="N37:P37" si="29">+N38+N40</f>
        <v>1100</v>
      </c>
      <c r="O37" s="98">
        <f t="shared" si="29"/>
        <v>7239.52</v>
      </c>
      <c r="P37" s="106">
        <f t="shared" si="29"/>
        <v>1100</v>
      </c>
    </row>
    <row r="38" spans="1:16" s="78" customFormat="1" ht="14.45" x14ac:dyDescent="0.3">
      <c r="A38" s="43">
        <v>3</v>
      </c>
      <c r="B38" s="51"/>
      <c r="C38" s="51"/>
      <c r="D38" s="44" t="s">
        <v>22</v>
      </c>
      <c r="E38" s="92"/>
      <c r="F38" s="99">
        <f>+F39</f>
        <v>523.62</v>
      </c>
      <c r="G38" s="99"/>
      <c r="H38" s="99"/>
      <c r="I38" s="99"/>
      <c r="J38" s="99">
        <f>+J39</f>
        <v>7139.52</v>
      </c>
      <c r="K38" s="99">
        <f t="shared" si="5"/>
        <v>-6139.52</v>
      </c>
      <c r="L38" s="99">
        <f>+L39</f>
        <v>1000</v>
      </c>
      <c r="M38" s="99"/>
      <c r="N38" s="99">
        <f t="shared" ref="N38:P38" si="30">+N39</f>
        <v>1000</v>
      </c>
      <c r="O38" s="99">
        <f t="shared" si="30"/>
        <v>7139.52</v>
      </c>
      <c r="P38" s="107">
        <f t="shared" si="30"/>
        <v>1000</v>
      </c>
    </row>
    <row r="39" spans="1:16" s="78" customFormat="1" ht="14.45" x14ac:dyDescent="0.3">
      <c r="A39" s="43">
        <v>32</v>
      </c>
      <c r="B39" s="51"/>
      <c r="C39" s="51"/>
      <c r="D39" s="44" t="s">
        <v>40</v>
      </c>
      <c r="E39" s="92"/>
      <c r="F39" s="99">
        <v>523.62</v>
      </c>
      <c r="G39" s="99"/>
      <c r="H39" s="99"/>
      <c r="I39" s="99"/>
      <c r="J39" s="99">
        <v>7139.52</v>
      </c>
      <c r="K39" s="99">
        <f t="shared" si="5"/>
        <v>-6139.52</v>
      </c>
      <c r="L39" s="99">
        <v>1000</v>
      </c>
      <c r="M39" s="99"/>
      <c r="N39" s="99">
        <v>1000</v>
      </c>
      <c r="O39" s="99">
        <v>7139.52</v>
      </c>
      <c r="P39" s="107">
        <v>1000</v>
      </c>
    </row>
    <row r="40" spans="1:16" ht="14.45" x14ac:dyDescent="0.3">
      <c r="A40" s="43">
        <v>4</v>
      </c>
      <c r="B40" s="50"/>
      <c r="C40" s="50"/>
      <c r="D40" s="44" t="s">
        <v>5</v>
      </c>
      <c r="E40" s="45">
        <f>+E41</f>
        <v>7724.19</v>
      </c>
      <c r="F40" s="99">
        <f>+F41</f>
        <v>9.9600000000000009</v>
      </c>
      <c r="G40" s="99">
        <f t="shared" ref="G40:P40" si="31">+G41</f>
        <v>80500</v>
      </c>
      <c r="H40" s="99">
        <f t="shared" ref="H40" si="32">+G40/7.5345</f>
        <v>10684.186077377397</v>
      </c>
      <c r="I40" s="99">
        <f t="shared" si="31"/>
        <v>12055.2</v>
      </c>
      <c r="J40" s="99">
        <f>+J41</f>
        <v>100</v>
      </c>
      <c r="K40" s="99">
        <f t="shared" si="5"/>
        <v>0</v>
      </c>
      <c r="L40" s="99">
        <f>+L41</f>
        <v>100</v>
      </c>
      <c r="M40" s="99">
        <f t="shared" si="31"/>
        <v>2260.35</v>
      </c>
      <c r="N40" s="99">
        <f t="shared" si="31"/>
        <v>100</v>
      </c>
      <c r="O40" s="99">
        <f t="shared" si="31"/>
        <v>100</v>
      </c>
      <c r="P40" s="107">
        <f t="shared" si="31"/>
        <v>100</v>
      </c>
    </row>
    <row r="41" spans="1:16" ht="14.45" x14ac:dyDescent="0.3">
      <c r="A41" s="43">
        <v>42</v>
      </c>
      <c r="B41" s="50"/>
      <c r="C41" s="50"/>
      <c r="D41" s="47" t="s">
        <v>115</v>
      </c>
      <c r="E41" s="45">
        <v>7724.19</v>
      </c>
      <c r="F41" s="99">
        <v>9.9600000000000009</v>
      </c>
      <c r="G41" s="99">
        <v>80500</v>
      </c>
      <c r="H41" s="99">
        <f t="shared" ref="H41" si="33">+G41/7.5345</f>
        <v>10684.186077377397</v>
      </c>
      <c r="I41" s="99">
        <v>12055.2</v>
      </c>
      <c r="J41" s="99">
        <v>100</v>
      </c>
      <c r="K41" s="99">
        <f t="shared" si="5"/>
        <v>0</v>
      </c>
      <c r="L41" s="99">
        <v>100</v>
      </c>
      <c r="M41" s="99">
        <v>2260.35</v>
      </c>
      <c r="N41" s="99">
        <v>100</v>
      </c>
      <c r="O41" s="99">
        <v>100</v>
      </c>
      <c r="P41" s="107">
        <v>100</v>
      </c>
    </row>
    <row r="42" spans="1:16" s="78" customFormat="1" hidden="1" x14ac:dyDescent="0.25">
      <c r="A42" s="138">
        <v>62400</v>
      </c>
      <c r="B42" s="139"/>
      <c r="C42" s="144"/>
      <c r="D42" s="69" t="s">
        <v>83</v>
      </c>
      <c r="E42" s="80">
        <v>10000</v>
      </c>
      <c r="F42" s="98">
        <f>+F43</f>
        <v>0</v>
      </c>
      <c r="G42" s="98">
        <v>0</v>
      </c>
      <c r="H42" s="98">
        <f t="shared" ref="H42" si="34">+G42/7.5345</f>
        <v>0</v>
      </c>
      <c r="I42" s="98">
        <v>0</v>
      </c>
      <c r="J42" s="98">
        <f>SUM(J43:J44)</f>
        <v>0</v>
      </c>
      <c r="K42" s="98">
        <f t="shared" si="5"/>
        <v>0</v>
      </c>
      <c r="L42" s="98">
        <f>SUM(L43:L44)</f>
        <v>0</v>
      </c>
      <c r="M42" s="98">
        <v>0</v>
      </c>
      <c r="N42" s="98">
        <f t="shared" ref="N42:P42" si="35">SUM(N43:N44)</f>
        <v>0</v>
      </c>
      <c r="O42" s="98">
        <f t="shared" si="35"/>
        <v>0</v>
      </c>
      <c r="P42" s="106">
        <f t="shared" si="35"/>
        <v>0</v>
      </c>
    </row>
    <row r="43" spans="1:16" hidden="1" x14ac:dyDescent="0.25">
      <c r="A43" s="43">
        <v>3</v>
      </c>
      <c r="B43" s="50"/>
      <c r="C43" s="50"/>
      <c r="D43" s="44" t="s">
        <v>22</v>
      </c>
      <c r="E43" s="45">
        <v>10000</v>
      </c>
      <c r="F43" s="99">
        <f>+F44</f>
        <v>0</v>
      </c>
      <c r="G43" s="99">
        <v>0</v>
      </c>
      <c r="H43" s="99">
        <f t="shared" ref="H43" si="36">+G43/7.5345</f>
        <v>0</v>
      </c>
      <c r="I43" s="99">
        <v>0</v>
      </c>
      <c r="J43" s="99">
        <v>0</v>
      </c>
      <c r="K43" s="99">
        <f t="shared" si="5"/>
        <v>0</v>
      </c>
      <c r="L43" s="99">
        <v>0</v>
      </c>
      <c r="M43" s="99">
        <v>0</v>
      </c>
      <c r="N43" s="99">
        <v>0</v>
      </c>
      <c r="O43" s="99">
        <v>0</v>
      </c>
      <c r="P43" s="107">
        <v>0</v>
      </c>
    </row>
    <row r="44" spans="1:16" hidden="1" x14ac:dyDescent="0.25">
      <c r="A44" s="43">
        <v>32</v>
      </c>
      <c r="B44" s="50"/>
      <c r="C44" s="50"/>
      <c r="D44" s="44" t="s">
        <v>40</v>
      </c>
      <c r="E44" s="45">
        <v>10000</v>
      </c>
      <c r="F44" s="99">
        <v>0</v>
      </c>
      <c r="G44" s="99">
        <v>0</v>
      </c>
      <c r="H44" s="99">
        <f t="shared" ref="H44" si="37">+G44/7.5345</f>
        <v>0</v>
      </c>
      <c r="I44" s="99">
        <v>0</v>
      </c>
      <c r="J44" s="99">
        <v>0</v>
      </c>
      <c r="K44" s="99">
        <f t="shared" si="5"/>
        <v>0</v>
      </c>
      <c r="L44" s="99">
        <v>0</v>
      </c>
      <c r="M44" s="99">
        <v>0</v>
      </c>
      <c r="N44" s="99">
        <v>0</v>
      </c>
      <c r="O44" s="99">
        <v>0</v>
      </c>
      <c r="P44" s="107">
        <v>0</v>
      </c>
    </row>
    <row r="45" spans="1:16" s="78" customFormat="1" x14ac:dyDescent="0.25">
      <c r="A45" s="136" t="s">
        <v>84</v>
      </c>
      <c r="B45" s="137"/>
      <c r="C45" s="143"/>
      <c r="D45" s="67" t="s">
        <v>85</v>
      </c>
      <c r="E45" s="80">
        <f>+E46</f>
        <v>4680433.4400000004</v>
      </c>
      <c r="F45" s="98">
        <f>+F46</f>
        <v>625806.15</v>
      </c>
      <c r="G45" s="98">
        <f t="shared" ref="G45:P46" si="38">+G46</f>
        <v>4678510</v>
      </c>
      <c r="H45" s="98">
        <f t="shared" ref="H45" si="39">+G45/7.5345</f>
        <v>620944.98639591213</v>
      </c>
      <c r="I45" s="98">
        <f t="shared" si="38"/>
        <v>4887780.84</v>
      </c>
      <c r="J45" s="98">
        <f>+J46</f>
        <v>648720</v>
      </c>
      <c r="K45" s="98">
        <f t="shared" si="5"/>
        <v>194700</v>
      </c>
      <c r="L45" s="98">
        <f>+L46</f>
        <v>843420</v>
      </c>
      <c r="M45" s="98">
        <f t="shared" si="38"/>
        <v>4887780.84</v>
      </c>
      <c r="N45" s="98">
        <f t="shared" si="38"/>
        <v>843420</v>
      </c>
      <c r="O45" s="98">
        <f t="shared" si="38"/>
        <v>648720</v>
      </c>
      <c r="P45" s="106">
        <f t="shared" si="38"/>
        <v>843420</v>
      </c>
    </row>
    <row r="46" spans="1:16" s="78" customFormat="1" x14ac:dyDescent="0.25">
      <c r="A46" s="138">
        <v>53082</v>
      </c>
      <c r="B46" s="139"/>
      <c r="C46" s="144"/>
      <c r="D46" s="69" t="s">
        <v>86</v>
      </c>
      <c r="E46" s="80">
        <v>4680433.4400000004</v>
      </c>
      <c r="F46" s="98">
        <f>+F47</f>
        <v>625806.15</v>
      </c>
      <c r="G46" s="98">
        <v>4678510</v>
      </c>
      <c r="H46" s="98">
        <f t="shared" ref="H46" si="40">+G46/7.5345</f>
        <v>620944.98639591213</v>
      </c>
      <c r="I46" s="98">
        <v>4887780.84</v>
      </c>
      <c r="J46" s="98">
        <f>+J47</f>
        <v>648720</v>
      </c>
      <c r="K46" s="98">
        <f t="shared" si="5"/>
        <v>194700</v>
      </c>
      <c r="L46" s="98">
        <f>+L47</f>
        <v>843420</v>
      </c>
      <c r="M46" s="98">
        <v>4887780.84</v>
      </c>
      <c r="N46" s="98">
        <f t="shared" si="38"/>
        <v>843420</v>
      </c>
      <c r="O46" s="98">
        <f t="shared" si="38"/>
        <v>648720</v>
      </c>
      <c r="P46" s="106">
        <f t="shared" si="38"/>
        <v>843420</v>
      </c>
    </row>
    <row r="47" spans="1:16" x14ac:dyDescent="0.25">
      <c r="A47" s="43">
        <v>3</v>
      </c>
      <c r="B47" s="50"/>
      <c r="C47" s="50"/>
      <c r="D47" s="44" t="s">
        <v>22</v>
      </c>
      <c r="E47" s="45">
        <v>4680433.4400000004</v>
      </c>
      <c r="F47" s="99">
        <f>+F48+F49+F49</f>
        <v>625806.15</v>
      </c>
      <c r="G47" s="99">
        <v>4678510</v>
      </c>
      <c r="H47" s="99">
        <f t="shared" ref="H47" si="41">+G47/7.5345</f>
        <v>620944.98639591213</v>
      </c>
      <c r="I47" s="99">
        <v>4887780.84</v>
      </c>
      <c r="J47" s="99">
        <f>+J48+J49+J49</f>
        <v>648720</v>
      </c>
      <c r="K47" s="99">
        <f t="shared" si="5"/>
        <v>194700</v>
      </c>
      <c r="L47" s="99">
        <f>+L48+L49+L49</f>
        <v>843420</v>
      </c>
      <c r="M47" s="99">
        <v>4887780.84</v>
      </c>
      <c r="N47" s="99">
        <f t="shared" ref="N47:P47" si="42">+N48+N49+N49</f>
        <v>843420</v>
      </c>
      <c r="O47" s="99">
        <f t="shared" si="42"/>
        <v>648720</v>
      </c>
      <c r="P47" s="107">
        <f t="shared" si="42"/>
        <v>843420</v>
      </c>
    </row>
    <row r="48" spans="1:16" x14ac:dyDescent="0.25">
      <c r="A48" s="43">
        <v>31</v>
      </c>
      <c r="B48" s="50"/>
      <c r="C48" s="50"/>
      <c r="D48" s="44" t="s">
        <v>25</v>
      </c>
      <c r="E48" s="45">
        <v>4590543.1100000003</v>
      </c>
      <c r="F48" s="101">
        <v>625806.15</v>
      </c>
      <c r="G48" s="101">
        <v>4637330</v>
      </c>
      <c r="H48" s="101">
        <f t="shared" ref="H48" si="43">+G48/7.5345</f>
        <v>615479.46114539786</v>
      </c>
      <c r="I48" s="101">
        <v>4887780.84</v>
      </c>
      <c r="J48" s="101">
        <v>648720</v>
      </c>
      <c r="K48" s="101">
        <f t="shared" si="5"/>
        <v>194700</v>
      </c>
      <c r="L48" s="101">
        <v>843420</v>
      </c>
      <c r="M48" s="101">
        <v>4887780.84</v>
      </c>
      <c r="N48" s="101">
        <v>843420</v>
      </c>
      <c r="O48" s="101">
        <v>648720</v>
      </c>
      <c r="P48" s="108">
        <v>843420</v>
      </c>
    </row>
    <row r="49" spans="1:16" ht="14.45" hidden="1" x14ac:dyDescent="0.3">
      <c r="A49" s="43">
        <v>32</v>
      </c>
      <c r="B49" s="50"/>
      <c r="C49" s="50"/>
      <c r="D49" s="44" t="s">
        <v>40</v>
      </c>
      <c r="E49" s="45">
        <v>49408.12</v>
      </c>
      <c r="F49" s="99">
        <v>0</v>
      </c>
      <c r="G49" s="99">
        <v>29380</v>
      </c>
      <c r="H49" s="99">
        <f t="shared" ref="H49" si="44">+G49/7.5345</f>
        <v>3899.3961112217135</v>
      </c>
      <c r="I49" s="99">
        <v>0</v>
      </c>
      <c r="J49" s="99">
        <v>0</v>
      </c>
      <c r="K49" s="99">
        <f t="shared" si="5"/>
        <v>0</v>
      </c>
      <c r="L49" s="99">
        <v>0</v>
      </c>
      <c r="M49" s="99">
        <v>0</v>
      </c>
      <c r="N49" s="99">
        <v>0</v>
      </c>
      <c r="O49" s="99">
        <v>0</v>
      </c>
      <c r="P49" s="107">
        <v>0</v>
      </c>
    </row>
    <row r="50" spans="1:16" ht="14.45" hidden="1" x14ac:dyDescent="0.3">
      <c r="A50" s="43">
        <v>34</v>
      </c>
      <c r="B50" s="50"/>
      <c r="C50" s="50"/>
      <c r="D50" s="44" t="s">
        <v>76</v>
      </c>
      <c r="E50" s="48">
        <v>40482.21</v>
      </c>
      <c r="F50" s="101">
        <v>0</v>
      </c>
      <c r="G50" s="101">
        <v>11800</v>
      </c>
      <c r="H50" s="101">
        <f t="shared" ref="H50" si="45">+G50/7.5345</f>
        <v>1566.1291392925873</v>
      </c>
      <c r="I50" s="101">
        <v>0</v>
      </c>
      <c r="J50" s="101">
        <v>0</v>
      </c>
      <c r="K50" s="101">
        <f t="shared" si="5"/>
        <v>0</v>
      </c>
      <c r="L50" s="101">
        <v>0</v>
      </c>
      <c r="M50" s="101">
        <v>0</v>
      </c>
      <c r="N50" s="101">
        <v>0</v>
      </c>
      <c r="O50" s="101">
        <v>0</v>
      </c>
      <c r="P50" s="108">
        <v>0</v>
      </c>
    </row>
    <row r="51" spans="1:16" ht="16.5" x14ac:dyDescent="0.25">
      <c r="A51" s="140">
        <v>2301</v>
      </c>
      <c r="B51" s="141"/>
      <c r="C51" s="142"/>
      <c r="D51" s="67" t="s">
        <v>87</v>
      </c>
      <c r="E51" s="68">
        <f>+E52+E56+E65+E69+E85+E89</f>
        <v>284866.75</v>
      </c>
      <c r="F51" s="97">
        <f>+F52+F56+F65+F69+F85+F89+F61</f>
        <v>44500.729999999996</v>
      </c>
      <c r="G51" s="97">
        <f>+G52+G56+G65+G69+G85+G89</f>
        <v>1461524</v>
      </c>
      <c r="H51" s="97">
        <f t="shared" ref="H51" si="46">+G51/7.5345</f>
        <v>193977.5698453779</v>
      </c>
      <c r="I51" s="97">
        <f>+I52+I56+I65+I69+I85+I89</f>
        <v>1356891.3000000003</v>
      </c>
      <c r="J51" s="97">
        <f>+J52+J56+J65+J69+J85+J89+J61</f>
        <v>265542.02</v>
      </c>
      <c r="K51" s="97">
        <f t="shared" si="5"/>
        <v>-206163.61000000002</v>
      </c>
      <c r="L51" s="97">
        <f>+L52+L56+L65+L69+L85+L89+L61</f>
        <v>59378.41</v>
      </c>
      <c r="M51" s="97">
        <f>+M52+M56+M65+M69+M85+M89</f>
        <v>32571.64</v>
      </c>
      <c r="N51" s="97">
        <f t="shared" ref="N51:P51" si="47">+N52+N56+N65+N69+N85+N89+N61</f>
        <v>9712.01</v>
      </c>
      <c r="O51" s="97">
        <f t="shared" si="47"/>
        <v>265542.02</v>
      </c>
      <c r="P51" s="105">
        <f t="shared" si="47"/>
        <v>9712.01</v>
      </c>
    </row>
    <row r="52" spans="1:16" s="78" customFormat="1" x14ac:dyDescent="0.25">
      <c r="A52" s="136" t="s">
        <v>88</v>
      </c>
      <c r="B52" s="137"/>
      <c r="C52" s="143"/>
      <c r="D52" s="69" t="s">
        <v>89</v>
      </c>
      <c r="E52" s="80">
        <f>+E53</f>
        <v>0</v>
      </c>
      <c r="F52" s="98">
        <f>+F53</f>
        <v>2470.5</v>
      </c>
      <c r="G52" s="98">
        <f t="shared" ref="G52:P54" si="48">+G53</f>
        <v>22570</v>
      </c>
      <c r="H52" s="98">
        <f t="shared" ref="H52" si="49">+G52/7.5345</f>
        <v>2995.55378591811</v>
      </c>
      <c r="I52" s="98">
        <f t="shared" si="48"/>
        <v>22573.360000000001</v>
      </c>
      <c r="J52" s="98">
        <f>+J53</f>
        <v>8112.01</v>
      </c>
      <c r="K52" s="98">
        <f t="shared" si="5"/>
        <v>0</v>
      </c>
      <c r="L52" s="98">
        <f>+L53</f>
        <v>8112.01</v>
      </c>
      <c r="M52" s="98">
        <f t="shared" si="48"/>
        <v>22573.360000000001</v>
      </c>
      <c r="N52" s="98">
        <f t="shared" si="48"/>
        <v>8112.01</v>
      </c>
      <c r="O52" s="98">
        <f t="shared" si="48"/>
        <v>8112.01</v>
      </c>
      <c r="P52" s="106">
        <f t="shared" si="48"/>
        <v>8112.01</v>
      </c>
    </row>
    <row r="53" spans="1:16" s="78" customFormat="1" x14ac:dyDescent="0.25">
      <c r="A53" s="138">
        <v>11001</v>
      </c>
      <c r="B53" s="139"/>
      <c r="C53" s="144"/>
      <c r="D53" s="69" t="s">
        <v>90</v>
      </c>
      <c r="E53" s="80">
        <v>0</v>
      </c>
      <c r="F53" s="98">
        <f>+F54</f>
        <v>2470.5</v>
      </c>
      <c r="G53" s="98">
        <v>22570</v>
      </c>
      <c r="H53" s="98">
        <f t="shared" ref="H53" si="50">+G53/7.5345</f>
        <v>2995.55378591811</v>
      </c>
      <c r="I53" s="98">
        <v>22573.360000000001</v>
      </c>
      <c r="J53" s="98">
        <f>+J54</f>
        <v>8112.01</v>
      </c>
      <c r="K53" s="98">
        <f t="shared" si="5"/>
        <v>0</v>
      </c>
      <c r="L53" s="98">
        <f>+L54</f>
        <v>8112.01</v>
      </c>
      <c r="M53" s="98">
        <v>22573.360000000001</v>
      </c>
      <c r="N53" s="98">
        <f t="shared" si="48"/>
        <v>8112.01</v>
      </c>
      <c r="O53" s="98">
        <f t="shared" si="48"/>
        <v>8112.01</v>
      </c>
      <c r="P53" s="106">
        <f t="shared" si="48"/>
        <v>8112.01</v>
      </c>
    </row>
    <row r="54" spans="1:16" x14ac:dyDescent="0.25">
      <c r="A54" s="43">
        <v>3</v>
      </c>
      <c r="B54" s="50"/>
      <c r="C54" s="50"/>
      <c r="D54" s="44" t="s">
        <v>22</v>
      </c>
      <c r="E54" s="45">
        <v>0</v>
      </c>
      <c r="F54" s="99">
        <f>+F55</f>
        <v>2470.5</v>
      </c>
      <c r="G54" s="99">
        <v>22570</v>
      </c>
      <c r="H54" s="99">
        <f t="shared" ref="H54" si="51">+G54/7.5345</f>
        <v>2995.55378591811</v>
      </c>
      <c r="I54" s="99">
        <v>22573.360000000001</v>
      </c>
      <c r="J54" s="99">
        <f>+J55</f>
        <v>8112.01</v>
      </c>
      <c r="K54" s="99">
        <f t="shared" si="5"/>
        <v>0</v>
      </c>
      <c r="L54" s="99">
        <f>+L55</f>
        <v>8112.01</v>
      </c>
      <c r="M54" s="99">
        <v>22573.360000000001</v>
      </c>
      <c r="N54" s="99">
        <f t="shared" si="48"/>
        <v>8112.01</v>
      </c>
      <c r="O54" s="99">
        <f t="shared" si="48"/>
        <v>8112.01</v>
      </c>
      <c r="P54" s="107">
        <f t="shared" si="48"/>
        <v>8112.01</v>
      </c>
    </row>
    <row r="55" spans="1:16" x14ac:dyDescent="0.25">
      <c r="A55" s="43">
        <v>32</v>
      </c>
      <c r="B55" s="50"/>
      <c r="C55" s="50"/>
      <c r="D55" s="44" t="s">
        <v>40</v>
      </c>
      <c r="E55" s="45">
        <v>0</v>
      </c>
      <c r="F55" s="99">
        <v>2470.5</v>
      </c>
      <c r="G55" s="99">
        <v>22570</v>
      </c>
      <c r="H55" s="99">
        <f t="shared" ref="H55" si="52">+G55/7.5345</f>
        <v>2995.55378591811</v>
      </c>
      <c r="I55" s="99">
        <v>22573.360000000001</v>
      </c>
      <c r="J55" s="99">
        <v>8112.01</v>
      </c>
      <c r="K55" s="99">
        <f t="shared" si="5"/>
        <v>0</v>
      </c>
      <c r="L55" s="99">
        <v>8112.01</v>
      </c>
      <c r="M55" s="99">
        <v>22573.360000000001</v>
      </c>
      <c r="N55" s="99">
        <v>8112.01</v>
      </c>
      <c r="O55" s="99">
        <v>8112.01</v>
      </c>
      <c r="P55" s="107">
        <v>8112.01</v>
      </c>
    </row>
    <row r="56" spans="1:16" s="78" customFormat="1" hidden="1" x14ac:dyDescent="0.25">
      <c r="A56" s="136" t="s">
        <v>91</v>
      </c>
      <c r="B56" s="137"/>
      <c r="C56" s="143"/>
      <c r="D56" s="70" t="s">
        <v>92</v>
      </c>
      <c r="E56" s="80">
        <f>+E57</f>
        <v>23738.48</v>
      </c>
      <c r="F56" s="98">
        <f>+F57</f>
        <v>0</v>
      </c>
      <c r="G56" s="98">
        <f t="shared" ref="G56:P57" si="53">+G57</f>
        <v>0</v>
      </c>
      <c r="H56" s="98">
        <f t="shared" ref="H56" si="54">+G56/7.5345</f>
        <v>0</v>
      </c>
      <c r="I56" s="98">
        <f t="shared" si="53"/>
        <v>0</v>
      </c>
      <c r="J56" s="98">
        <f>+J57</f>
        <v>0</v>
      </c>
      <c r="K56" s="98">
        <f t="shared" si="5"/>
        <v>0</v>
      </c>
      <c r="L56" s="98">
        <f>+L57</f>
        <v>0</v>
      </c>
      <c r="M56" s="98">
        <f t="shared" si="53"/>
        <v>0</v>
      </c>
      <c r="N56" s="98">
        <f t="shared" si="53"/>
        <v>0</v>
      </c>
      <c r="O56" s="98">
        <f t="shared" si="53"/>
        <v>0</v>
      </c>
      <c r="P56" s="106">
        <f t="shared" si="53"/>
        <v>0</v>
      </c>
    </row>
    <row r="57" spans="1:16" s="78" customFormat="1" hidden="1" x14ac:dyDescent="0.25">
      <c r="A57" s="138">
        <v>11001</v>
      </c>
      <c r="B57" s="139"/>
      <c r="C57" s="144"/>
      <c r="D57" s="69" t="s">
        <v>90</v>
      </c>
      <c r="E57" s="80">
        <v>23738.48</v>
      </c>
      <c r="F57" s="98">
        <f>+F58</f>
        <v>0</v>
      </c>
      <c r="G57" s="98">
        <v>0</v>
      </c>
      <c r="H57" s="98">
        <f t="shared" ref="H57" si="55">+G57/7.5345</f>
        <v>0</v>
      </c>
      <c r="I57" s="98">
        <v>0</v>
      </c>
      <c r="J57" s="98">
        <f>+J58</f>
        <v>0</v>
      </c>
      <c r="K57" s="98">
        <f t="shared" si="5"/>
        <v>0</v>
      </c>
      <c r="L57" s="98">
        <f>+L58</f>
        <v>0</v>
      </c>
      <c r="M57" s="98">
        <v>0</v>
      </c>
      <c r="N57" s="98">
        <f t="shared" si="53"/>
        <v>0</v>
      </c>
      <c r="O57" s="98">
        <f t="shared" si="53"/>
        <v>0</v>
      </c>
      <c r="P57" s="106">
        <f t="shared" si="53"/>
        <v>0</v>
      </c>
    </row>
    <row r="58" spans="1:16" hidden="1" x14ac:dyDescent="0.25">
      <c r="A58" s="43">
        <v>3</v>
      </c>
      <c r="B58" s="50"/>
      <c r="C58" s="50"/>
      <c r="D58" s="44" t="s">
        <v>22</v>
      </c>
      <c r="E58" s="45">
        <v>23738.48</v>
      </c>
      <c r="F58" s="99">
        <f>SUM(F59:F60)</f>
        <v>0</v>
      </c>
      <c r="G58" s="99">
        <v>0</v>
      </c>
      <c r="H58" s="99">
        <f t="shared" ref="H58" si="56">+G58/7.5345</f>
        <v>0</v>
      </c>
      <c r="I58" s="99">
        <v>0</v>
      </c>
      <c r="J58" s="99">
        <f>SUM(J59:J60)</f>
        <v>0</v>
      </c>
      <c r="K58" s="99">
        <f t="shared" si="5"/>
        <v>0</v>
      </c>
      <c r="L58" s="99">
        <f>SUM(L59:L60)</f>
        <v>0</v>
      </c>
      <c r="M58" s="99">
        <v>0</v>
      </c>
      <c r="N58" s="99">
        <f t="shared" ref="N58:P58" si="57">SUM(N59:N60)</f>
        <v>0</v>
      </c>
      <c r="O58" s="99">
        <f t="shared" si="57"/>
        <v>0</v>
      </c>
      <c r="P58" s="107">
        <f t="shared" si="57"/>
        <v>0</v>
      </c>
    </row>
    <row r="59" spans="1:16" hidden="1" x14ac:dyDescent="0.25">
      <c r="A59" s="43">
        <v>31</v>
      </c>
      <c r="B59" s="50"/>
      <c r="C59" s="50"/>
      <c r="D59" s="44" t="s">
        <v>25</v>
      </c>
      <c r="E59" s="45">
        <v>22694.68</v>
      </c>
      <c r="F59" s="99">
        <v>0</v>
      </c>
      <c r="G59" s="99">
        <v>0</v>
      </c>
      <c r="H59" s="99">
        <f t="shared" ref="H59" si="58">+G59/7.5345</f>
        <v>0</v>
      </c>
      <c r="I59" s="99">
        <v>0</v>
      </c>
      <c r="J59" s="99">
        <v>0</v>
      </c>
      <c r="K59" s="99">
        <f t="shared" si="5"/>
        <v>0</v>
      </c>
      <c r="L59" s="99">
        <v>0</v>
      </c>
      <c r="M59" s="99">
        <v>0</v>
      </c>
      <c r="N59" s="99">
        <v>0</v>
      </c>
      <c r="O59" s="99">
        <v>0</v>
      </c>
      <c r="P59" s="107">
        <v>0</v>
      </c>
    </row>
    <row r="60" spans="1:16" hidden="1" x14ac:dyDescent="0.25">
      <c r="A60" s="43">
        <v>32</v>
      </c>
      <c r="B60" s="50"/>
      <c r="C60" s="50"/>
      <c r="D60" s="48" t="s">
        <v>40</v>
      </c>
      <c r="E60" s="45">
        <v>1043.8</v>
      </c>
      <c r="F60" s="99">
        <v>0</v>
      </c>
      <c r="G60" s="99">
        <v>0</v>
      </c>
      <c r="H60" s="99">
        <f t="shared" ref="H60:H64" si="59">+G60/7.5345</f>
        <v>0</v>
      </c>
      <c r="I60" s="99">
        <v>0</v>
      </c>
      <c r="J60" s="99">
        <v>0</v>
      </c>
      <c r="K60" s="99">
        <f t="shared" si="5"/>
        <v>0</v>
      </c>
      <c r="L60" s="99">
        <v>0</v>
      </c>
      <c r="M60" s="99">
        <v>0</v>
      </c>
      <c r="N60" s="99">
        <v>0</v>
      </c>
      <c r="O60" s="99">
        <v>0</v>
      </c>
      <c r="P60" s="107">
        <v>0</v>
      </c>
    </row>
    <row r="61" spans="1:16" s="78" customFormat="1" x14ac:dyDescent="0.25">
      <c r="A61" s="136" t="s">
        <v>125</v>
      </c>
      <c r="B61" s="137"/>
      <c r="C61" s="143"/>
      <c r="D61" s="69" t="s">
        <v>126</v>
      </c>
      <c r="E61" s="80">
        <f>+E62</f>
        <v>0</v>
      </c>
      <c r="F61" s="98">
        <f>+F62</f>
        <v>0</v>
      </c>
      <c r="G61" s="98">
        <f t="shared" ref="G61:P63" si="60">+G62</f>
        <v>22570</v>
      </c>
      <c r="H61" s="98">
        <f t="shared" si="59"/>
        <v>2995.55378591811</v>
      </c>
      <c r="I61" s="98">
        <f t="shared" si="60"/>
        <v>22573.360000000001</v>
      </c>
      <c r="J61" s="98">
        <f>+J62</f>
        <v>26.57</v>
      </c>
      <c r="K61" s="98">
        <f t="shared" ref="K61" si="61">+L61-J61</f>
        <v>-26.57</v>
      </c>
      <c r="L61" s="98">
        <f>+L62</f>
        <v>0</v>
      </c>
      <c r="M61" s="98">
        <f t="shared" si="60"/>
        <v>22573.360000000001</v>
      </c>
      <c r="N61" s="98">
        <f t="shared" si="60"/>
        <v>0</v>
      </c>
      <c r="O61" s="98">
        <f t="shared" si="60"/>
        <v>26.57</v>
      </c>
      <c r="P61" s="106">
        <f t="shared" si="60"/>
        <v>0</v>
      </c>
    </row>
    <row r="62" spans="1:16" s="78" customFormat="1" x14ac:dyDescent="0.25">
      <c r="A62" s="138">
        <v>53082</v>
      </c>
      <c r="B62" s="139"/>
      <c r="C62" s="144"/>
      <c r="D62" s="69" t="s">
        <v>86</v>
      </c>
      <c r="E62" s="80">
        <v>0</v>
      </c>
      <c r="F62" s="98">
        <f>+F63</f>
        <v>0</v>
      </c>
      <c r="G62" s="98">
        <v>22570</v>
      </c>
      <c r="H62" s="98">
        <f t="shared" si="59"/>
        <v>2995.55378591811</v>
      </c>
      <c r="I62" s="98">
        <v>22573.360000000001</v>
      </c>
      <c r="J62" s="98">
        <f>+J63</f>
        <v>26.57</v>
      </c>
      <c r="K62" s="98">
        <f t="shared" ref="K62" si="62">+L62-J62</f>
        <v>-26.57</v>
      </c>
      <c r="L62" s="98">
        <f>+L63</f>
        <v>0</v>
      </c>
      <c r="M62" s="98">
        <v>22573.360000000001</v>
      </c>
      <c r="N62" s="98">
        <f t="shared" si="60"/>
        <v>0</v>
      </c>
      <c r="O62" s="98">
        <f t="shared" si="60"/>
        <v>26.57</v>
      </c>
      <c r="P62" s="106">
        <f t="shared" si="60"/>
        <v>0</v>
      </c>
    </row>
    <row r="63" spans="1:16" x14ac:dyDescent="0.25">
      <c r="A63" s="43">
        <v>3</v>
      </c>
      <c r="B63" s="50"/>
      <c r="C63" s="50"/>
      <c r="D63" s="44" t="s">
        <v>22</v>
      </c>
      <c r="E63" s="45">
        <v>0</v>
      </c>
      <c r="F63" s="99">
        <f>+F64</f>
        <v>0</v>
      </c>
      <c r="G63" s="99">
        <v>22570</v>
      </c>
      <c r="H63" s="99">
        <f t="shared" si="59"/>
        <v>2995.55378591811</v>
      </c>
      <c r="I63" s="99">
        <v>22573.360000000001</v>
      </c>
      <c r="J63" s="99">
        <f>+J64</f>
        <v>26.57</v>
      </c>
      <c r="K63" s="99">
        <f t="shared" ref="K63" si="63">+L63-J63</f>
        <v>-26.57</v>
      </c>
      <c r="L63" s="99">
        <f>+L64</f>
        <v>0</v>
      </c>
      <c r="M63" s="99">
        <v>22573.360000000001</v>
      </c>
      <c r="N63" s="99">
        <f t="shared" si="60"/>
        <v>0</v>
      </c>
      <c r="O63" s="99">
        <f t="shared" si="60"/>
        <v>26.57</v>
      </c>
      <c r="P63" s="107">
        <f t="shared" si="60"/>
        <v>0</v>
      </c>
    </row>
    <row r="64" spans="1:16" x14ac:dyDescent="0.25">
      <c r="A64" s="43">
        <v>32</v>
      </c>
      <c r="B64" s="50"/>
      <c r="C64" s="50"/>
      <c r="D64" s="44" t="s">
        <v>40</v>
      </c>
      <c r="E64" s="45">
        <v>0</v>
      </c>
      <c r="F64" s="99">
        <v>0</v>
      </c>
      <c r="G64" s="99">
        <v>22570</v>
      </c>
      <c r="H64" s="99">
        <f t="shared" si="59"/>
        <v>2995.55378591811</v>
      </c>
      <c r="I64" s="99">
        <v>22573.360000000001</v>
      </c>
      <c r="J64" s="99">
        <v>26.57</v>
      </c>
      <c r="K64" s="99">
        <f t="shared" si="5"/>
        <v>-26.57</v>
      </c>
      <c r="L64" s="99">
        <v>0</v>
      </c>
      <c r="M64" s="99"/>
      <c r="N64" s="99">
        <v>0</v>
      </c>
      <c r="O64" s="99">
        <v>26.57</v>
      </c>
      <c r="P64" s="107">
        <v>0</v>
      </c>
    </row>
    <row r="65" spans="1:16" s="78" customFormat="1" x14ac:dyDescent="0.25">
      <c r="A65" s="136" t="s">
        <v>93</v>
      </c>
      <c r="B65" s="137"/>
      <c r="C65" s="143"/>
      <c r="D65" s="70" t="s">
        <v>94</v>
      </c>
      <c r="E65" s="80">
        <f>+E66</f>
        <v>919.5</v>
      </c>
      <c r="F65" s="98">
        <f>+F66</f>
        <v>101.67</v>
      </c>
      <c r="G65" s="98">
        <f t="shared" ref="G65:P65" si="64">+G66</f>
        <v>766</v>
      </c>
      <c r="H65" s="98">
        <f t="shared" ref="H65" si="65">+G65/7.5345</f>
        <v>101.66567124560355</v>
      </c>
      <c r="I65" s="98">
        <f t="shared" si="64"/>
        <v>0</v>
      </c>
      <c r="J65" s="98">
        <f>+J66</f>
        <v>0</v>
      </c>
      <c r="K65" s="98">
        <f t="shared" si="5"/>
        <v>0</v>
      </c>
      <c r="L65" s="98">
        <f>+L66</f>
        <v>0</v>
      </c>
      <c r="M65" s="98">
        <f t="shared" si="64"/>
        <v>0</v>
      </c>
      <c r="N65" s="98">
        <f t="shared" si="64"/>
        <v>0</v>
      </c>
      <c r="O65" s="98">
        <f t="shared" si="64"/>
        <v>0</v>
      </c>
      <c r="P65" s="106">
        <f t="shared" si="64"/>
        <v>0</v>
      </c>
    </row>
    <row r="66" spans="1:16" s="78" customFormat="1" x14ac:dyDescent="0.25">
      <c r="A66" s="138">
        <v>53080</v>
      </c>
      <c r="B66" s="139"/>
      <c r="C66" s="144"/>
      <c r="D66" s="69" t="s">
        <v>95</v>
      </c>
      <c r="E66" s="80">
        <v>919.5</v>
      </c>
      <c r="F66" s="98">
        <f>SUM(F67)</f>
        <v>101.67</v>
      </c>
      <c r="G66" s="98">
        <v>766</v>
      </c>
      <c r="H66" s="98">
        <f t="shared" ref="H66" si="66">+G66/7.5345</f>
        <v>101.66567124560355</v>
      </c>
      <c r="I66" s="98">
        <v>0</v>
      </c>
      <c r="J66" s="98">
        <f>SUM(J67:J68)</f>
        <v>0</v>
      </c>
      <c r="K66" s="98">
        <f t="shared" si="5"/>
        <v>0</v>
      </c>
      <c r="L66" s="98">
        <f>SUM(L67:L68)</f>
        <v>0</v>
      </c>
      <c r="M66" s="98">
        <v>0</v>
      </c>
      <c r="N66" s="98">
        <f t="shared" ref="N66:P66" si="67">SUM(N67:N68)</f>
        <v>0</v>
      </c>
      <c r="O66" s="98">
        <f t="shared" si="67"/>
        <v>0</v>
      </c>
      <c r="P66" s="106">
        <f t="shared" si="67"/>
        <v>0</v>
      </c>
    </row>
    <row r="67" spans="1:16" x14ac:dyDescent="0.25">
      <c r="A67" s="85">
        <v>3</v>
      </c>
      <c r="B67" s="86"/>
      <c r="C67" s="86"/>
      <c r="D67" s="87" t="s">
        <v>22</v>
      </c>
      <c r="E67" s="88">
        <v>919.5</v>
      </c>
      <c r="F67" s="102">
        <f>+F68</f>
        <v>101.67</v>
      </c>
      <c r="G67" s="102">
        <v>766</v>
      </c>
      <c r="H67" s="102">
        <f t="shared" ref="H67" si="68">+G67/7.5345</f>
        <v>101.66567124560355</v>
      </c>
      <c r="I67" s="102">
        <v>0</v>
      </c>
      <c r="J67" s="102">
        <v>0</v>
      </c>
      <c r="K67" s="102">
        <f t="shared" si="5"/>
        <v>0</v>
      </c>
      <c r="L67" s="102">
        <v>0</v>
      </c>
      <c r="M67" s="102">
        <v>0</v>
      </c>
      <c r="N67" s="102">
        <v>0</v>
      </c>
      <c r="O67" s="102">
        <v>0</v>
      </c>
      <c r="P67" s="109">
        <v>0</v>
      </c>
    </row>
    <row r="68" spans="1:16" ht="13.9" customHeight="1" x14ac:dyDescent="0.25">
      <c r="A68" s="43">
        <v>32</v>
      </c>
      <c r="B68" s="50"/>
      <c r="C68" s="50"/>
      <c r="D68" s="44" t="s">
        <v>40</v>
      </c>
      <c r="E68" s="45">
        <v>919.5</v>
      </c>
      <c r="F68" s="99">
        <v>101.67</v>
      </c>
      <c r="G68" s="99">
        <v>766</v>
      </c>
      <c r="H68" s="99">
        <f t="shared" ref="H68" si="69">+G68/7.5345</f>
        <v>101.66567124560355</v>
      </c>
      <c r="I68" s="99">
        <v>0</v>
      </c>
      <c r="J68" s="99">
        <v>0</v>
      </c>
      <c r="K68" s="99">
        <f t="shared" si="5"/>
        <v>0</v>
      </c>
      <c r="L68" s="99">
        <v>0</v>
      </c>
      <c r="M68" s="99">
        <v>0</v>
      </c>
      <c r="N68" s="99">
        <v>0</v>
      </c>
      <c r="O68" s="99">
        <v>0</v>
      </c>
      <c r="P68" s="107">
        <v>0</v>
      </c>
    </row>
    <row r="69" spans="1:16" s="78" customFormat="1" x14ac:dyDescent="0.25">
      <c r="A69" s="136" t="s">
        <v>96</v>
      </c>
      <c r="B69" s="137"/>
      <c r="C69" s="143"/>
      <c r="D69" s="70" t="s">
        <v>97</v>
      </c>
      <c r="E69" s="80">
        <f>+E73+E78</f>
        <v>258304.77</v>
      </c>
      <c r="F69" s="98">
        <f>+F70+F73+F78</f>
        <v>40457.99</v>
      </c>
      <c r="G69" s="98">
        <f t="shared" ref="G69:K69" si="70">+G70+G73+G78</f>
        <v>1428188</v>
      </c>
      <c r="H69" s="98">
        <f t="shared" si="70"/>
        <v>189553.12230406795</v>
      </c>
      <c r="I69" s="98">
        <f t="shared" si="70"/>
        <v>1324319.6600000001</v>
      </c>
      <c r="J69" s="98">
        <f>+J70+J73+J78</f>
        <v>256076.21000000002</v>
      </c>
      <c r="K69" s="98">
        <f t="shared" si="70"/>
        <v>-206409.81</v>
      </c>
      <c r="L69" s="98">
        <f>+L70+L73+L78</f>
        <v>49666.400000000001</v>
      </c>
      <c r="M69" s="98">
        <f t="shared" ref="M69" si="71">+M73+M78</f>
        <v>0</v>
      </c>
      <c r="N69" s="98">
        <f t="shared" ref="N69:P69" si="72">+N70+N73+N78</f>
        <v>0</v>
      </c>
      <c r="O69" s="98">
        <f t="shared" si="72"/>
        <v>256076.21000000002</v>
      </c>
      <c r="P69" s="106">
        <f t="shared" si="72"/>
        <v>0</v>
      </c>
    </row>
    <row r="70" spans="1:16" s="78" customFormat="1" x14ac:dyDescent="0.25">
      <c r="A70" s="138">
        <v>11001</v>
      </c>
      <c r="B70" s="139"/>
      <c r="C70" s="76"/>
      <c r="D70" s="69" t="s">
        <v>90</v>
      </c>
      <c r="E70" s="80">
        <v>3250</v>
      </c>
      <c r="F70" s="98">
        <f>+F71</f>
        <v>0</v>
      </c>
      <c r="G70" s="98">
        <v>0</v>
      </c>
      <c r="H70" s="98">
        <f t="shared" ref="H70:H72" si="73">+G70/7.5345</f>
        <v>0</v>
      </c>
      <c r="I70" s="98">
        <v>0</v>
      </c>
      <c r="J70" s="98">
        <f>+J71</f>
        <v>29847.34</v>
      </c>
      <c r="K70" s="98">
        <f t="shared" si="5"/>
        <v>-29847.34</v>
      </c>
      <c r="L70" s="98">
        <f>+L71</f>
        <v>0</v>
      </c>
      <c r="M70" s="98">
        <v>0</v>
      </c>
      <c r="N70" s="98">
        <f t="shared" ref="N70:P71" si="74">+N71</f>
        <v>0</v>
      </c>
      <c r="O70" s="98">
        <f t="shared" si="74"/>
        <v>29847.34</v>
      </c>
      <c r="P70" s="106">
        <f t="shared" si="74"/>
        <v>0</v>
      </c>
    </row>
    <row r="71" spans="1:16" x14ac:dyDescent="0.25">
      <c r="A71" s="43">
        <v>4</v>
      </c>
      <c r="B71" s="50"/>
      <c r="C71" s="50"/>
      <c r="D71" s="44" t="s">
        <v>5</v>
      </c>
      <c r="E71" s="45">
        <v>3250</v>
      </c>
      <c r="F71" s="99">
        <f>+F72</f>
        <v>0</v>
      </c>
      <c r="G71" s="99">
        <v>0</v>
      </c>
      <c r="H71" s="99">
        <f t="shared" si="73"/>
        <v>0</v>
      </c>
      <c r="I71" s="99">
        <v>0</v>
      </c>
      <c r="J71" s="99">
        <f>+J72</f>
        <v>29847.34</v>
      </c>
      <c r="K71" s="99">
        <f t="shared" si="5"/>
        <v>-29847.34</v>
      </c>
      <c r="L71" s="99">
        <f>+L72</f>
        <v>0</v>
      </c>
      <c r="M71" s="99">
        <v>0</v>
      </c>
      <c r="N71" s="99">
        <f t="shared" si="74"/>
        <v>0</v>
      </c>
      <c r="O71" s="99">
        <f t="shared" si="74"/>
        <v>29847.34</v>
      </c>
      <c r="P71" s="107">
        <f t="shared" si="74"/>
        <v>0</v>
      </c>
    </row>
    <row r="72" spans="1:16" x14ac:dyDescent="0.25">
      <c r="A72" s="43">
        <v>42</v>
      </c>
      <c r="B72" s="50"/>
      <c r="C72" s="50"/>
      <c r="D72" s="47" t="s">
        <v>115</v>
      </c>
      <c r="E72" s="48">
        <v>3250</v>
      </c>
      <c r="F72" s="101">
        <v>0</v>
      </c>
      <c r="G72" s="101">
        <v>0</v>
      </c>
      <c r="H72" s="101">
        <f t="shared" si="73"/>
        <v>0</v>
      </c>
      <c r="I72" s="101">
        <v>0</v>
      </c>
      <c r="J72" s="101">
        <v>29847.34</v>
      </c>
      <c r="K72" s="101">
        <f t="shared" si="5"/>
        <v>-29847.34</v>
      </c>
      <c r="L72" s="101">
        <v>0</v>
      </c>
      <c r="M72" s="101">
        <v>0</v>
      </c>
      <c r="N72" s="101">
        <v>0</v>
      </c>
      <c r="O72" s="101">
        <v>29847.34</v>
      </c>
      <c r="P72" s="108">
        <v>0</v>
      </c>
    </row>
    <row r="73" spans="1:16" s="78" customFormat="1" x14ac:dyDescent="0.25">
      <c r="A73" s="138">
        <v>51001</v>
      </c>
      <c r="B73" s="139"/>
      <c r="C73" s="144"/>
      <c r="D73" s="69" t="s">
        <v>98</v>
      </c>
      <c r="E73" s="80">
        <v>0</v>
      </c>
      <c r="F73" s="98">
        <f>+F74+F76</f>
        <v>0</v>
      </c>
      <c r="G73" s="98">
        <v>1124443</v>
      </c>
      <c r="H73" s="98">
        <f t="shared" ref="H73" si="75">+G73/7.5345</f>
        <v>149239.23286216735</v>
      </c>
      <c r="I73" s="98">
        <v>1005102.3</v>
      </c>
      <c r="J73" s="98">
        <f>+J74+J76</f>
        <v>179083.43000000002</v>
      </c>
      <c r="K73" s="98">
        <f t="shared" si="5"/>
        <v>-179083.43000000002</v>
      </c>
      <c r="L73" s="98">
        <f>+L74+L76</f>
        <v>0</v>
      </c>
      <c r="M73" s="98">
        <v>0</v>
      </c>
      <c r="N73" s="98">
        <f t="shared" ref="N73:P73" si="76">+N74+N76</f>
        <v>0</v>
      </c>
      <c r="O73" s="98">
        <f t="shared" si="76"/>
        <v>179083.43000000002</v>
      </c>
      <c r="P73" s="106">
        <f t="shared" si="76"/>
        <v>0</v>
      </c>
    </row>
    <row r="74" spans="1:16" x14ac:dyDescent="0.25">
      <c r="A74" s="43">
        <v>3</v>
      </c>
      <c r="B74" s="50"/>
      <c r="C74" s="50"/>
      <c r="D74" s="44" t="s">
        <v>22</v>
      </c>
      <c r="E74" s="45">
        <v>0</v>
      </c>
      <c r="F74" s="99">
        <f>+F75</f>
        <v>0</v>
      </c>
      <c r="G74" s="99">
        <v>51000</v>
      </c>
      <c r="H74" s="99">
        <f t="shared" ref="H74" si="77">+G74/7.5345</f>
        <v>6768.863229145928</v>
      </c>
      <c r="I74" s="99">
        <v>3013.8</v>
      </c>
      <c r="J74" s="99">
        <f>+J75</f>
        <v>2284.64</v>
      </c>
      <c r="K74" s="99">
        <f t="shared" si="5"/>
        <v>-2284.64</v>
      </c>
      <c r="L74" s="99">
        <f>+L75</f>
        <v>0</v>
      </c>
      <c r="M74" s="99">
        <v>0</v>
      </c>
      <c r="N74" s="99">
        <f t="shared" ref="N74:P74" si="78">+N75</f>
        <v>0</v>
      </c>
      <c r="O74" s="99">
        <f t="shared" si="78"/>
        <v>2284.64</v>
      </c>
      <c r="P74" s="107">
        <f t="shared" si="78"/>
        <v>0</v>
      </c>
    </row>
    <row r="75" spans="1:16" x14ac:dyDescent="0.25">
      <c r="A75" s="43">
        <v>32</v>
      </c>
      <c r="B75" s="50"/>
      <c r="C75" s="50"/>
      <c r="D75" s="44" t="s">
        <v>40</v>
      </c>
      <c r="E75" s="45">
        <v>0</v>
      </c>
      <c r="F75" s="99">
        <v>0</v>
      </c>
      <c r="G75" s="99">
        <v>51000</v>
      </c>
      <c r="H75" s="99">
        <f t="shared" ref="H75" si="79">+G75/7.5345</f>
        <v>6768.863229145928</v>
      </c>
      <c r="I75" s="99">
        <v>3013.8</v>
      </c>
      <c r="J75" s="99">
        <v>2284.64</v>
      </c>
      <c r="K75" s="99">
        <f t="shared" si="5"/>
        <v>-2284.64</v>
      </c>
      <c r="L75" s="99">
        <v>0</v>
      </c>
      <c r="M75" s="99">
        <v>0</v>
      </c>
      <c r="N75" s="99">
        <v>0</v>
      </c>
      <c r="O75" s="99">
        <v>2284.64</v>
      </c>
      <c r="P75" s="107">
        <v>0</v>
      </c>
    </row>
    <row r="76" spans="1:16" x14ac:dyDescent="0.25">
      <c r="A76" s="43">
        <v>4</v>
      </c>
      <c r="B76" s="50"/>
      <c r="C76" s="50"/>
      <c r="D76" s="44" t="s">
        <v>5</v>
      </c>
      <c r="E76" s="45">
        <f>+E77</f>
        <v>0</v>
      </c>
      <c r="F76" s="99">
        <f>+F77</f>
        <v>0</v>
      </c>
      <c r="G76" s="99">
        <f t="shared" ref="G76:P76" si="80">+G77</f>
        <v>1073443</v>
      </c>
      <c r="H76" s="99">
        <f t="shared" ref="H76" si="81">+G76/7.5345</f>
        <v>142470.36963302142</v>
      </c>
      <c r="I76" s="99">
        <f t="shared" si="80"/>
        <v>1002088.5</v>
      </c>
      <c r="J76" s="99">
        <f>+J77</f>
        <v>176798.79</v>
      </c>
      <c r="K76" s="99">
        <f t="shared" si="5"/>
        <v>-176798.79</v>
      </c>
      <c r="L76" s="99">
        <f>+L77</f>
        <v>0</v>
      </c>
      <c r="M76" s="99">
        <f t="shared" si="80"/>
        <v>0</v>
      </c>
      <c r="N76" s="99">
        <f t="shared" si="80"/>
        <v>0</v>
      </c>
      <c r="O76" s="99">
        <f t="shared" si="80"/>
        <v>176798.79</v>
      </c>
      <c r="P76" s="107">
        <f t="shared" si="80"/>
        <v>0</v>
      </c>
    </row>
    <row r="77" spans="1:16" x14ac:dyDescent="0.25">
      <c r="A77" s="43">
        <v>42</v>
      </c>
      <c r="B77" s="50"/>
      <c r="C77" s="50"/>
      <c r="D77" s="47" t="s">
        <v>115</v>
      </c>
      <c r="E77" s="45">
        <v>0</v>
      </c>
      <c r="F77" s="99">
        <v>0</v>
      </c>
      <c r="G77" s="99">
        <v>1073443</v>
      </c>
      <c r="H77" s="99">
        <f t="shared" ref="H77" si="82">+G77/7.5345</f>
        <v>142470.36963302142</v>
      </c>
      <c r="I77" s="99">
        <v>1002088.5</v>
      </c>
      <c r="J77" s="99">
        <v>176798.79</v>
      </c>
      <c r="K77" s="99">
        <f t="shared" si="5"/>
        <v>-176798.79</v>
      </c>
      <c r="L77" s="99">
        <v>0</v>
      </c>
      <c r="M77" s="99">
        <v>0</v>
      </c>
      <c r="N77" s="99">
        <v>0</v>
      </c>
      <c r="O77" s="99">
        <v>176798.79</v>
      </c>
      <c r="P77" s="107">
        <v>0</v>
      </c>
    </row>
    <row r="78" spans="1:16" s="78" customFormat="1" x14ac:dyDescent="0.25">
      <c r="A78" s="138">
        <v>58400</v>
      </c>
      <c r="B78" s="139"/>
      <c r="C78" s="144"/>
      <c r="D78" s="69" t="s">
        <v>99</v>
      </c>
      <c r="E78" s="80">
        <v>258304.77</v>
      </c>
      <c r="F78" s="98">
        <f>+F79+F83</f>
        <v>40457.99</v>
      </c>
      <c r="G78" s="98">
        <v>303745</v>
      </c>
      <c r="H78" s="98">
        <f t="shared" ref="H78" si="83">+G78/7.5345</f>
        <v>40313.889441900588</v>
      </c>
      <c r="I78" s="98">
        <v>319217.36000000004</v>
      </c>
      <c r="J78" s="98">
        <f>+J79+J83</f>
        <v>47145.439999999995</v>
      </c>
      <c r="K78" s="98">
        <f t="shared" si="5"/>
        <v>2520.9600000000064</v>
      </c>
      <c r="L78" s="98">
        <f>+L79+L83</f>
        <v>49666.400000000001</v>
      </c>
      <c r="M78" s="98">
        <v>0</v>
      </c>
      <c r="N78" s="98">
        <f t="shared" ref="N78:P78" si="84">+N79+N83</f>
        <v>0</v>
      </c>
      <c r="O78" s="98">
        <f t="shared" si="84"/>
        <v>47145.439999999995</v>
      </c>
      <c r="P78" s="106">
        <f t="shared" si="84"/>
        <v>0</v>
      </c>
    </row>
    <row r="79" spans="1:16" x14ac:dyDescent="0.25">
      <c r="A79" s="43">
        <v>3</v>
      </c>
      <c r="B79" s="51"/>
      <c r="C79" s="51"/>
      <c r="D79" s="44" t="s">
        <v>22</v>
      </c>
      <c r="E79" s="45">
        <v>258304.77</v>
      </c>
      <c r="F79" s="99">
        <f>SUM(F80:F82)</f>
        <v>40457.99</v>
      </c>
      <c r="G79" s="99">
        <v>303745</v>
      </c>
      <c r="H79" s="99">
        <f t="shared" ref="H79" si="85">+G79/7.5345</f>
        <v>40313.889441900588</v>
      </c>
      <c r="I79" s="99">
        <v>281350.92000000004</v>
      </c>
      <c r="J79" s="99">
        <f>SUM(J80:J82)</f>
        <v>42119.7</v>
      </c>
      <c r="K79" s="99">
        <f t="shared" si="5"/>
        <v>2546.7000000000044</v>
      </c>
      <c r="L79" s="99">
        <f>SUM(L80:L82)</f>
        <v>44666.400000000001</v>
      </c>
      <c r="M79" s="99">
        <v>0</v>
      </c>
      <c r="N79" s="99">
        <f t="shared" ref="N79:P79" si="86">SUM(N80:N82)</f>
        <v>0</v>
      </c>
      <c r="O79" s="99">
        <f t="shared" si="86"/>
        <v>42119.7</v>
      </c>
      <c r="P79" s="107">
        <f t="shared" si="86"/>
        <v>0</v>
      </c>
    </row>
    <row r="80" spans="1:16" x14ac:dyDescent="0.25">
      <c r="A80" s="43">
        <v>31</v>
      </c>
      <c r="B80" s="51"/>
      <c r="C80" s="51"/>
      <c r="D80" s="44" t="s">
        <v>25</v>
      </c>
      <c r="E80" s="45">
        <v>203593.93</v>
      </c>
      <c r="F80" s="99">
        <v>27249.4</v>
      </c>
      <c r="G80" s="99">
        <v>229100</v>
      </c>
      <c r="H80" s="99">
        <f t="shared" ref="H80" si="87">+G80/7.5345</f>
        <v>30406.795407790829</v>
      </c>
      <c r="I80" s="99">
        <v>215336.01</v>
      </c>
      <c r="J80" s="99">
        <v>28580</v>
      </c>
      <c r="K80" s="99">
        <f t="shared" si="5"/>
        <v>-28580</v>
      </c>
      <c r="L80" s="99">
        <v>0</v>
      </c>
      <c r="M80" s="99">
        <v>0</v>
      </c>
      <c r="N80" s="99">
        <v>0</v>
      </c>
      <c r="O80" s="99">
        <v>28580</v>
      </c>
      <c r="P80" s="107">
        <v>0</v>
      </c>
    </row>
    <row r="81" spans="1:16" x14ac:dyDescent="0.25">
      <c r="A81" s="43">
        <v>32</v>
      </c>
      <c r="B81" s="51"/>
      <c r="C81" s="51"/>
      <c r="D81" s="44" t="s">
        <v>40</v>
      </c>
      <c r="E81" s="45">
        <v>54315.840000000004</v>
      </c>
      <c r="F81" s="99">
        <v>13050.88</v>
      </c>
      <c r="G81" s="99">
        <v>73845</v>
      </c>
      <c r="H81" s="99">
        <f t="shared" ref="H81" si="88">+G81/7.5345</f>
        <v>9800.9157873780605</v>
      </c>
      <c r="I81" s="99">
        <v>65261.460000000006</v>
      </c>
      <c r="J81" s="99">
        <v>13439.7</v>
      </c>
      <c r="K81" s="99">
        <f t="shared" si="5"/>
        <v>31226.7</v>
      </c>
      <c r="L81" s="99">
        <v>44666.400000000001</v>
      </c>
      <c r="M81" s="99">
        <v>0</v>
      </c>
      <c r="N81" s="99">
        <v>0</v>
      </c>
      <c r="O81" s="99">
        <v>13439.7</v>
      </c>
      <c r="P81" s="107">
        <v>0</v>
      </c>
    </row>
    <row r="82" spans="1:16" x14ac:dyDescent="0.25">
      <c r="A82" s="43">
        <v>34</v>
      </c>
      <c r="B82" s="51"/>
      <c r="C82" s="51"/>
      <c r="D82" s="44" t="s">
        <v>76</v>
      </c>
      <c r="E82" s="45">
        <v>395</v>
      </c>
      <c r="F82" s="99">
        <v>157.71</v>
      </c>
      <c r="G82" s="99">
        <v>800</v>
      </c>
      <c r="H82" s="99">
        <f t="shared" ref="H82" si="89">+G82/7.5345</f>
        <v>106.17824673170084</v>
      </c>
      <c r="I82" s="99">
        <v>753.45</v>
      </c>
      <c r="J82" s="99">
        <v>100</v>
      </c>
      <c r="K82" s="99">
        <f t="shared" si="5"/>
        <v>-100</v>
      </c>
      <c r="L82" s="99">
        <v>0</v>
      </c>
      <c r="M82" s="99">
        <v>0</v>
      </c>
      <c r="N82" s="99">
        <v>0</v>
      </c>
      <c r="O82" s="99">
        <v>100</v>
      </c>
      <c r="P82" s="107">
        <v>0</v>
      </c>
    </row>
    <row r="83" spans="1:16" x14ac:dyDescent="0.25">
      <c r="A83" s="43">
        <v>4</v>
      </c>
      <c r="B83" s="50"/>
      <c r="C83" s="50"/>
      <c r="D83" s="44" t="s">
        <v>5</v>
      </c>
      <c r="E83" s="45">
        <f>+E84</f>
        <v>0</v>
      </c>
      <c r="F83" s="99">
        <f>+F84</f>
        <v>0</v>
      </c>
      <c r="G83" s="99">
        <f t="shared" ref="G83:P83" si="90">+G84</f>
        <v>0</v>
      </c>
      <c r="H83" s="99">
        <f t="shared" ref="H83" si="91">+G83/7.5345</f>
        <v>0</v>
      </c>
      <c r="I83" s="99">
        <f t="shared" si="90"/>
        <v>37866.44</v>
      </c>
      <c r="J83" s="99">
        <f>+J84</f>
        <v>5025.74</v>
      </c>
      <c r="K83" s="99">
        <f t="shared" si="5"/>
        <v>-25.739999999999782</v>
      </c>
      <c r="L83" s="99">
        <f>+L84</f>
        <v>5000</v>
      </c>
      <c r="M83" s="99">
        <f t="shared" si="90"/>
        <v>0</v>
      </c>
      <c r="N83" s="99">
        <f t="shared" si="90"/>
        <v>0</v>
      </c>
      <c r="O83" s="99">
        <f t="shared" si="90"/>
        <v>5025.74</v>
      </c>
      <c r="P83" s="107">
        <f t="shared" si="90"/>
        <v>0</v>
      </c>
    </row>
    <row r="84" spans="1:16" x14ac:dyDescent="0.25">
      <c r="A84" s="46">
        <v>42</v>
      </c>
      <c r="B84" s="52"/>
      <c r="C84" s="52"/>
      <c r="D84" s="47" t="s">
        <v>115</v>
      </c>
      <c r="E84" s="48">
        <v>0</v>
      </c>
      <c r="F84" s="101">
        <v>0</v>
      </c>
      <c r="G84" s="101">
        <v>0</v>
      </c>
      <c r="H84" s="101">
        <f t="shared" ref="H84" si="92">+G84/7.5345</f>
        <v>0</v>
      </c>
      <c r="I84" s="101">
        <v>37866.44</v>
      </c>
      <c r="J84" s="101">
        <v>5025.74</v>
      </c>
      <c r="K84" s="101">
        <f t="shared" si="5"/>
        <v>-25.739999999999782</v>
      </c>
      <c r="L84" s="101">
        <v>5000</v>
      </c>
      <c r="M84" s="101">
        <v>0</v>
      </c>
      <c r="N84" s="101">
        <v>0</v>
      </c>
      <c r="O84" s="101">
        <v>5025.74</v>
      </c>
      <c r="P84" s="108">
        <v>0</v>
      </c>
    </row>
    <row r="85" spans="1:16" s="78" customFormat="1" x14ac:dyDescent="0.25">
      <c r="A85" s="136" t="s">
        <v>100</v>
      </c>
      <c r="B85" s="137"/>
      <c r="C85" s="143"/>
      <c r="D85" s="70" t="s">
        <v>101</v>
      </c>
      <c r="E85" s="71">
        <f>+E86</f>
        <v>1904</v>
      </c>
      <c r="F85" s="70">
        <f>+F86</f>
        <v>143.34</v>
      </c>
      <c r="G85" s="70">
        <f t="shared" ref="G85:P85" si="93">+G86</f>
        <v>0</v>
      </c>
      <c r="H85" s="70">
        <f t="shared" ref="H85" si="94">+G85/7.5345</f>
        <v>0</v>
      </c>
      <c r="I85" s="70">
        <f t="shared" si="93"/>
        <v>0</v>
      </c>
      <c r="J85" s="70">
        <f>+J86</f>
        <v>0</v>
      </c>
      <c r="K85" s="70">
        <f t="shared" si="5"/>
        <v>0</v>
      </c>
      <c r="L85" s="70">
        <f>+L86</f>
        <v>0</v>
      </c>
      <c r="M85" s="70">
        <f t="shared" si="93"/>
        <v>0</v>
      </c>
      <c r="N85" s="70">
        <f t="shared" si="93"/>
        <v>0</v>
      </c>
      <c r="O85" s="70">
        <f t="shared" si="93"/>
        <v>0</v>
      </c>
      <c r="P85" s="106">
        <f t="shared" si="93"/>
        <v>0</v>
      </c>
    </row>
    <row r="86" spans="1:16" s="78" customFormat="1" x14ac:dyDescent="0.25">
      <c r="A86" s="138">
        <v>53082</v>
      </c>
      <c r="B86" s="139"/>
      <c r="C86" s="144"/>
      <c r="D86" s="69" t="s">
        <v>86</v>
      </c>
      <c r="E86" s="80">
        <v>1904</v>
      </c>
      <c r="F86" s="98">
        <f>+F87</f>
        <v>143.34</v>
      </c>
      <c r="G86" s="98">
        <v>0</v>
      </c>
      <c r="H86" s="98">
        <f t="shared" ref="H86" si="95">+G86/7.5345</f>
        <v>0</v>
      </c>
      <c r="I86" s="98">
        <v>0</v>
      </c>
      <c r="J86" s="98">
        <f>SUM(J87:J88)</f>
        <v>0</v>
      </c>
      <c r="K86" s="98">
        <f t="shared" si="5"/>
        <v>0</v>
      </c>
      <c r="L86" s="98">
        <f>SUM(L87:L88)</f>
        <v>0</v>
      </c>
      <c r="M86" s="98">
        <v>0</v>
      </c>
      <c r="N86" s="98">
        <f t="shared" ref="N86:P86" si="96">SUM(N87:N88)</f>
        <v>0</v>
      </c>
      <c r="O86" s="98">
        <f t="shared" si="96"/>
        <v>0</v>
      </c>
      <c r="P86" s="106">
        <f t="shared" si="96"/>
        <v>0</v>
      </c>
    </row>
    <row r="87" spans="1:16" x14ac:dyDescent="0.25">
      <c r="A87" s="43">
        <v>3</v>
      </c>
      <c r="B87" s="50"/>
      <c r="C87" s="50"/>
      <c r="D87" s="44" t="s">
        <v>22</v>
      </c>
      <c r="E87" s="45">
        <v>1904</v>
      </c>
      <c r="F87" s="99">
        <f>+F88</f>
        <v>143.34</v>
      </c>
      <c r="G87" s="99">
        <v>0</v>
      </c>
      <c r="H87" s="99">
        <f t="shared" ref="H87" si="97">+G87/7.5345</f>
        <v>0</v>
      </c>
      <c r="I87" s="99">
        <v>0</v>
      </c>
      <c r="J87" s="99">
        <v>0</v>
      </c>
      <c r="K87" s="99">
        <f t="shared" si="5"/>
        <v>0</v>
      </c>
      <c r="L87" s="99">
        <v>0</v>
      </c>
      <c r="M87" s="99">
        <v>0</v>
      </c>
      <c r="N87" s="99">
        <v>0</v>
      </c>
      <c r="O87" s="99">
        <v>0</v>
      </c>
      <c r="P87" s="107">
        <v>0</v>
      </c>
    </row>
    <row r="88" spans="1:16" x14ac:dyDescent="0.25">
      <c r="A88" s="43">
        <v>32</v>
      </c>
      <c r="B88" s="50"/>
      <c r="C88" s="50"/>
      <c r="D88" s="44" t="s">
        <v>40</v>
      </c>
      <c r="E88" s="48">
        <v>1904</v>
      </c>
      <c r="F88" s="101">
        <v>143.34</v>
      </c>
      <c r="G88" s="101">
        <v>0</v>
      </c>
      <c r="H88" s="101">
        <f t="shared" ref="H88" si="98">+G88/7.5345</f>
        <v>0</v>
      </c>
      <c r="I88" s="101">
        <v>0</v>
      </c>
      <c r="J88" s="101">
        <v>0</v>
      </c>
      <c r="K88" s="101">
        <f t="shared" si="5"/>
        <v>0</v>
      </c>
      <c r="L88" s="101">
        <v>0</v>
      </c>
      <c r="M88" s="101">
        <v>0</v>
      </c>
      <c r="N88" s="101">
        <v>0</v>
      </c>
      <c r="O88" s="101">
        <v>0</v>
      </c>
      <c r="P88" s="108">
        <v>0</v>
      </c>
    </row>
    <row r="89" spans="1:16" s="78" customFormat="1" x14ac:dyDescent="0.25">
      <c r="A89" s="136" t="s">
        <v>102</v>
      </c>
      <c r="B89" s="137"/>
      <c r="C89" s="143"/>
      <c r="D89" s="70" t="s">
        <v>103</v>
      </c>
      <c r="E89" s="71">
        <f>+E90</f>
        <v>0</v>
      </c>
      <c r="F89" s="103">
        <f>+F90</f>
        <v>1327.23</v>
      </c>
      <c r="G89" s="103">
        <f t="shared" ref="G89:P91" si="99">+G90</f>
        <v>10000</v>
      </c>
      <c r="H89" s="103">
        <f t="shared" ref="H89" si="100">+G89/7.5345</f>
        <v>1327.2280841462605</v>
      </c>
      <c r="I89" s="103">
        <f t="shared" si="99"/>
        <v>9998.2799999999988</v>
      </c>
      <c r="J89" s="103">
        <f>+J90</f>
        <v>1327.23</v>
      </c>
      <c r="K89" s="103">
        <f t="shared" si="5"/>
        <v>272.77</v>
      </c>
      <c r="L89" s="103">
        <f>+L90</f>
        <v>1600</v>
      </c>
      <c r="M89" s="103">
        <f t="shared" si="99"/>
        <v>9998.2799999999988</v>
      </c>
      <c r="N89" s="103">
        <f t="shared" si="99"/>
        <v>1600</v>
      </c>
      <c r="O89" s="103">
        <f t="shared" si="99"/>
        <v>1327.23</v>
      </c>
      <c r="P89" s="110">
        <f t="shared" si="99"/>
        <v>1600</v>
      </c>
    </row>
    <row r="90" spans="1:16" s="78" customFormat="1" x14ac:dyDescent="0.25">
      <c r="A90" s="138">
        <v>11001</v>
      </c>
      <c r="B90" s="139"/>
      <c r="C90" s="144"/>
      <c r="D90" s="69" t="s">
        <v>90</v>
      </c>
      <c r="E90" s="80">
        <v>0</v>
      </c>
      <c r="F90" s="98">
        <f>+F91</f>
        <v>1327.23</v>
      </c>
      <c r="G90" s="98">
        <v>10000</v>
      </c>
      <c r="H90" s="98">
        <f t="shared" ref="H90" si="101">+G90/7.5345</f>
        <v>1327.2280841462605</v>
      </c>
      <c r="I90" s="98">
        <v>9998.2799999999988</v>
      </c>
      <c r="J90" s="98">
        <f>+J91</f>
        <v>1327.23</v>
      </c>
      <c r="K90" s="98">
        <f t="shared" si="5"/>
        <v>272.77</v>
      </c>
      <c r="L90" s="98">
        <f>+L91</f>
        <v>1600</v>
      </c>
      <c r="M90" s="98">
        <v>9998.2799999999988</v>
      </c>
      <c r="N90" s="98">
        <f t="shared" si="99"/>
        <v>1600</v>
      </c>
      <c r="O90" s="98">
        <f t="shared" si="99"/>
        <v>1327.23</v>
      </c>
      <c r="P90" s="106">
        <f t="shared" si="99"/>
        <v>1600</v>
      </c>
    </row>
    <row r="91" spans="1:16" x14ac:dyDescent="0.25">
      <c r="A91" s="43">
        <v>3</v>
      </c>
      <c r="B91" s="50"/>
      <c r="C91" s="50"/>
      <c r="D91" s="44" t="s">
        <v>22</v>
      </c>
      <c r="E91" s="45">
        <v>0</v>
      </c>
      <c r="F91" s="99">
        <f>+F92</f>
        <v>1327.23</v>
      </c>
      <c r="G91" s="99">
        <v>10000</v>
      </c>
      <c r="H91" s="99">
        <f t="shared" ref="H91" si="102">+G91/7.5345</f>
        <v>1327.2280841462605</v>
      </c>
      <c r="I91" s="99">
        <v>9998.2799999999988</v>
      </c>
      <c r="J91" s="99">
        <f>+J92</f>
        <v>1327.23</v>
      </c>
      <c r="K91" s="99">
        <f t="shared" si="5"/>
        <v>272.77</v>
      </c>
      <c r="L91" s="99">
        <f>+L92</f>
        <v>1600</v>
      </c>
      <c r="M91" s="99">
        <v>9998.2799999999988</v>
      </c>
      <c r="N91" s="99">
        <f t="shared" si="99"/>
        <v>1600</v>
      </c>
      <c r="O91" s="99">
        <f t="shared" si="99"/>
        <v>1327.23</v>
      </c>
      <c r="P91" s="107">
        <f t="shared" si="99"/>
        <v>1600</v>
      </c>
    </row>
    <row r="92" spans="1:16" x14ac:dyDescent="0.25">
      <c r="A92" s="43">
        <v>32</v>
      </c>
      <c r="B92" s="50"/>
      <c r="C92" s="50"/>
      <c r="D92" s="44" t="s">
        <v>40</v>
      </c>
      <c r="E92" s="48">
        <v>0</v>
      </c>
      <c r="F92" s="101">
        <v>1327.23</v>
      </c>
      <c r="G92" s="101">
        <v>10000</v>
      </c>
      <c r="H92" s="101">
        <f t="shared" ref="H92:H96" si="103">+G92/7.5345</f>
        <v>1327.2280841462605</v>
      </c>
      <c r="I92" s="101">
        <v>9998.2799999999988</v>
      </c>
      <c r="J92" s="101">
        <v>1327.23</v>
      </c>
      <c r="K92" s="101">
        <f t="shared" si="5"/>
        <v>272.77</v>
      </c>
      <c r="L92" s="101">
        <v>1600</v>
      </c>
      <c r="M92" s="101">
        <v>9998.2799999999988</v>
      </c>
      <c r="N92" s="101">
        <v>1600</v>
      </c>
      <c r="O92" s="101">
        <v>1327.23</v>
      </c>
      <c r="P92" s="108">
        <v>1600</v>
      </c>
    </row>
    <row r="93" spans="1:16" ht="16.5" x14ac:dyDescent="0.25">
      <c r="A93" s="140" t="s">
        <v>130</v>
      </c>
      <c r="B93" s="141"/>
      <c r="C93" s="142"/>
      <c r="D93" s="67" t="s">
        <v>87</v>
      </c>
      <c r="E93" s="68">
        <f>+E94+E102+E111+E115+E131+E135</f>
        <v>26895.55</v>
      </c>
      <c r="F93" s="97">
        <f t="shared" ref="F93:F95" si="104">+F94</f>
        <v>0</v>
      </c>
      <c r="G93" s="97">
        <f>+G94+G102+G111+G115+G131+G135</f>
        <v>131780</v>
      </c>
      <c r="H93" s="97">
        <f t="shared" si="103"/>
        <v>17490.21169287942</v>
      </c>
      <c r="I93" s="97">
        <f>+I94+I102+I111+I115+I131+I135</f>
        <v>120001.98</v>
      </c>
      <c r="J93" s="97">
        <f t="shared" ref="J93:P100" si="105">+J94</f>
        <v>4.46</v>
      </c>
      <c r="K93" s="97">
        <f t="shared" si="105"/>
        <v>-4.46</v>
      </c>
      <c r="L93" s="97">
        <f>+L94+L98</f>
        <v>600</v>
      </c>
      <c r="M93" s="97">
        <f>+M94+M102+M111+M115+M131+M135</f>
        <v>9998.2799999999988</v>
      </c>
      <c r="N93" s="97">
        <f t="shared" si="105"/>
        <v>0</v>
      </c>
      <c r="O93" s="97">
        <f t="shared" si="105"/>
        <v>4.46</v>
      </c>
      <c r="P93" s="105">
        <f t="shared" si="105"/>
        <v>0</v>
      </c>
    </row>
    <row r="94" spans="1:16" s="78" customFormat="1" x14ac:dyDescent="0.25">
      <c r="A94" s="136" t="s">
        <v>127</v>
      </c>
      <c r="B94" s="137"/>
      <c r="C94" s="143"/>
      <c r="D94" s="70" t="s">
        <v>128</v>
      </c>
      <c r="E94" s="71">
        <f>+E95</f>
        <v>0</v>
      </c>
      <c r="F94" s="103">
        <f t="shared" si="104"/>
        <v>0</v>
      </c>
      <c r="G94" s="103">
        <f t="shared" ref="G94:M94" si="106">+G95</f>
        <v>10000</v>
      </c>
      <c r="H94" s="103">
        <f t="shared" si="103"/>
        <v>1327.2280841462605</v>
      </c>
      <c r="I94" s="103">
        <f t="shared" si="106"/>
        <v>9998.2799999999988</v>
      </c>
      <c r="J94" s="103">
        <f t="shared" si="105"/>
        <v>4.46</v>
      </c>
      <c r="K94" s="103">
        <f t="shared" si="105"/>
        <v>-4.46</v>
      </c>
      <c r="L94" s="103">
        <f t="shared" si="105"/>
        <v>0</v>
      </c>
      <c r="M94" s="103">
        <f t="shared" si="106"/>
        <v>9998.2799999999988</v>
      </c>
      <c r="N94" s="103">
        <f t="shared" si="105"/>
        <v>0</v>
      </c>
      <c r="O94" s="103">
        <f t="shared" si="105"/>
        <v>4.46</v>
      </c>
      <c r="P94" s="110">
        <f t="shared" si="105"/>
        <v>0</v>
      </c>
    </row>
    <row r="95" spans="1:16" s="78" customFormat="1" ht="25.5" x14ac:dyDescent="0.25">
      <c r="A95" s="138">
        <v>53102</v>
      </c>
      <c r="B95" s="139"/>
      <c r="C95" s="144"/>
      <c r="D95" s="69" t="s">
        <v>131</v>
      </c>
      <c r="E95" s="80">
        <v>0</v>
      </c>
      <c r="F95" s="98">
        <f t="shared" si="104"/>
        <v>0</v>
      </c>
      <c r="G95" s="98">
        <v>10000</v>
      </c>
      <c r="H95" s="98">
        <f t="shared" si="103"/>
        <v>1327.2280841462605</v>
      </c>
      <c r="I95" s="98">
        <v>9998.2799999999988</v>
      </c>
      <c r="J95" s="98">
        <f t="shared" si="105"/>
        <v>4.46</v>
      </c>
      <c r="K95" s="98">
        <f t="shared" si="105"/>
        <v>-4.46</v>
      </c>
      <c r="L95" s="98">
        <f t="shared" si="105"/>
        <v>0</v>
      </c>
      <c r="M95" s="98">
        <v>9998.2799999999988</v>
      </c>
      <c r="N95" s="98">
        <f t="shared" si="105"/>
        <v>0</v>
      </c>
      <c r="O95" s="98">
        <f t="shared" si="105"/>
        <v>4.46</v>
      </c>
      <c r="P95" s="106">
        <f t="shared" si="105"/>
        <v>0</v>
      </c>
    </row>
    <row r="96" spans="1:16" x14ac:dyDescent="0.25">
      <c r="A96" s="43">
        <v>3</v>
      </c>
      <c r="B96" s="50"/>
      <c r="C96" s="50"/>
      <c r="D96" s="44" t="s">
        <v>22</v>
      </c>
      <c r="E96" s="45">
        <v>0</v>
      </c>
      <c r="F96" s="99">
        <f>+F97</f>
        <v>0</v>
      </c>
      <c r="G96" s="99">
        <v>10000</v>
      </c>
      <c r="H96" s="99">
        <f t="shared" si="103"/>
        <v>1327.2280841462605</v>
      </c>
      <c r="I96" s="99">
        <v>9998.2799999999988</v>
      </c>
      <c r="J96" s="99">
        <f>+J97</f>
        <v>4.46</v>
      </c>
      <c r="K96" s="99">
        <f t="shared" si="5"/>
        <v>-4.46</v>
      </c>
      <c r="L96" s="99">
        <f>+L97</f>
        <v>0</v>
      </c>
      <c r="M96" s="99">
        <v>9998.2799999999988</v>
      </c>
      <c r="N96" s="99">
        <f t="shared" si="105"/>
        <v>0</v>
      </c>
      <c r="O96" s="99">
        <f t="shared" si="105"/>
        <v>4.46</v>
      </c>
      <c r="P96" s="107">
        <f t="shared" si="105"/>
        <v>0</v>
      </c>
    </row>
    <row r="97" spans="1:16" x14ac:dyDescent="0.25">
      <c r="A97" s="43">
        <v>38</v>
      </c>
      <c r="B97" s="50"/>
      <c r="C97" s="50"/>
      <c r="D97" s="44" t="s">
        <v>129</v>
      </c>
      <c r="E97" s="48">
        <v>0</v>
      </c>
      <c r="F97" s="101">
        <v>0</v>
      </c>
      <c r="G97" s="101">
        <v>10000</v>
      </c>
      <c r="H97" s="101">
        <f t="shared" ref="H97:H100" si="107">+G97/7.5345</f>
        <v>1327.2280841462605</v>
      </c>
      <c r="I97" s="101">
        <v>9998.2799999999988</v>
      </c>
      <c r="J97" s="101">
        <v>4.46</v>
      </c>
      <c r="K97" s="101">
        <f t="shared" si="5"/>
        <v>-4.46</v>
      </c>
      <c r="L97" s="101">
        <v>0</v>
      </c>
      <c r="M97" s="101">
        <v>9998.2799999999988</v>
      </c>
      <c r="N97" s="101">
        <v>0</v>
      </c>
      <c r="O97" s="101">
        <v>4.46</v>
      </c>
      <c r="P97" s="108">
        <v>0</v>
      </c>
    </row>
    <row r="98" spans="1:16" s="78" customFormat="1" x14ac:dyDescent="0.25">
      <c r="A98" s="136" t="s">
        <v>134</v>
      </c>
      <c r="B98" s="137"/>
      <c r="C98" s="143"/>
      <c r="D98" s="67" t="s">
        <v>87</v>
      </c>
      <c r="E98" s="71">
        <f>+E99</f>
        <v>0</v>
      </c>
      <c r="F98" s="103">
        <f t="shared" ref="F98:M99" si="108">+F99</f>
        <v>0</v>
      </c>
      <c r="G98" s="103">
        <f t="shared" si="108"/>
        <v>10000</v>
      </c>
      <c r="H98" s="103">
        <f t="shared" si="107"/>
        <v>1327.2280841462605</v>
      </c>
      <c r="I98" s="103">
        <f t="shared" si="108"/>
        <v>9998.2799999999988</v>
      </c>
      <c r="J98" s="103">
        <f t="shared" si="105"/>
        <v>0</v>
      </c>
      <c r="K98" s="103">
        <f t="shared" si="105"/>
        <v>600</v>
      </c>
      <c r="L98" s="103">
        <f t="shared" si="105"/>
        <v>600</v>
      </c>
      <c r="M98" s="103">
        <f t="shared" si="108"/>
        <v>9998.2799999999988</v>
      </c>
      <c r="N98" s="103">
        <f t="shared" si="105"/>
        <v>0</v>
      </c>
      <c r="O98" s="103">
        <f t="shared" si="105"/>
        <v>4.46</v>
      </c>
      <c r="P98" s="110">
        <f t="shared" si="105"/>
        <v>0</v>
      </c>
    </row>
    <row r="99" spans="1:16" s="78" customFormat="1" x14ac:dyDescent="0.25">
      <c r="A99" s="138">
        <v>11001</v>
      </c>
      <c r="B99" s="139"/>
      <c r="C99" s="144"/>
      <c r="D99" s="69" t="s">
        <v>90</v>
      </c>
      <c r="E99" s="80">
        <v>0</v>
      </c>
      <c r="F99" s="98">
        <f t="shared" si="108"/>
        <v>0</v>
      </c>
      <c r="G99" s="98">
        <v>10000</v>
      </c>
      <c r="H99" s="98">
        <f t="shared" si="107"/>
        <v>1327.2280841462605</v>
      </c>
      <c r="I99" s="98">
        <v>9998.2799999999988</v>
      </c>
      <c r="J99" s="98">
        <f t="shared" si="105"/>
        <v>0</v>
      </c>
      <c r="K99" s="98">
        <f t="shared" si="105"/>
        <v>600</v>
      </c>
      <c r="L99" s="98">
        <f t="shared" si="105"/>
        <v>600</v>
      </c>
      <c r="M99" s="98">
        <v>9998.2799999999988</v>
      </c>
      <c r="N99" s="98">
        <f t="shared" si="105"/>
        <v>0</v>
      </c>
      <c r="O99" s="98">
        <f t="shared" si="105"/>
        <v>4.46</v>
      </c>
      <c r="P99" s="106">
        <f t="shared" si="105"/>
        <v>0</v>
      </c>
    </row>
    <row r="100" spans="1:16" x14ac:dyDescent="0.25">
      <c r="A100" s="43">
        <v>3</v>
      </c>
      <c r="B100" s="50"/>
      <c r="C100" s="50"/>
      <c r="D100" s="44" t="s">
        <v>22</v>
      </c>
      <c r="E100" s="45">
        <v>0</v>
      </c>
      <c r="F100" s="99">
        <f>+F101</f>
        <v>0</v>
      </c>
      <c r="G100" s="99">
        <v>10000</v>
      </c>
      <c r="H100" s="99">
        <f t="shared" si="107"/>
        <v>1327.2280841462605</v>
      </c>
      <c r="I100" s="99">
        <v>9998.2799999999988</v>
      </c>
      <c r="J100" s="99">
        <f>+J101</f>
        <v>0</v>
      </c>
      <c r="K100" s="99">
        <f t="shared" ref="K100:K101" si="109">+L100-J100</f>
        <v>600</v>
      </c>
      <c r="L100" s="99">
        <f>+L101</f>
        <v>600</v>
      </c>
      <c r="M100" s="99">
        <v>9998.2799999999988</v>
      </c>
      <c r="N100" s="99">
        <f t="shared" si="105"/>
        <v>0</v>
      </c>
      <c r="O100" s="99">
        <f t="shared" si="105"/>
        <v>4.46</v>
      </c>
      <c r="P100" s="107">
        <f t="shared" si="105"/>
        <v>0</v>
      </c>
    </row>
    <row r="101" spans="1:16" x14ac:dyDescent="0.25">
      <c r="A101" s="43">
        <v>32</v>
      </c>
      <c r="B101" s="50"/>
      <c r="C101" s="50"/>
      <c r="D101" s="44" t="s">
        <v>129</v>
      </c>
      <c r="E101" s="48">
        <v>0</v>
      </c>
      <c r="F101" s="101">
        <v>0</v>
      </c>
      <c r="G101" s="101">
        <v>10000</v>
      </c>
      <c r="H101" s="101">
        <f t="shared" ref="H101" si="110">+G101/7.5345</f>
        <v>1327.2280841462605</v>
      </c>
      <c r="I101" s="101">
        <v>9998.2799999999988</v>
      </c>
      <c r="J101" s="101">
        <v>0</v>
      </c>
      <c r="K101" s="101">
        <f t="shared" si="109"/>
        <v>600</v>
      </c>
      <c r="L101" s="101">
        <v>600</v>
      </c>
      <c r="M101" s="101">
        <v>9998.2799999999988</v>
      </c>
      <c r="N101" s="101">
        <v>0</v>
      </c>
      <c r="O101" s="101">
        <v>4.46</v>
      </c>
      <c r="P101" s="108">
        <v>0</v>
      </c>
    </row>
    <row r="102" spans="1:16" ht="16.5" x14ac:dyDescent="0.25">
      <c r="A102" s="140">
        <v>2406</v>
      </c>
      <c r="B102" s="141"/>
      <c r="C102" s="142"/>
      <c r="D102" s="67" t="s">
        <v>104</v>
      </c>
      <c r="E102" s="68">
        <f>+E103+E107</f>
        <v>23645.55</v>
      </c>
      <c r="F102" s="97">
        <f>+F103+F107+F114</f>
        <v>3542.91</v>
      </c>
      <c r="G102" s="97">
        <v>121780</v>
      </c>
      <c r="H102" s="97">
        <f t="shared" ref="H102" si="111">+G102/7.5345</f>
        <v>16162.983608733161</v>
      </c>
      <c r="I102" s="97">
        <v>110003.7</v>
      </c>
      <c r="J102" s="97">
        <f>+J103+J107+J114</f>
        <v>14954.55</v>
      </c>
      <c r="K102" s="97">
        <f t="shared" si="5"/>
        <v>-14624.55</v>
      </c>
      <c r="L102" s="97">
        <f>+L103+L107+L114</f>
        <v>330</v>
      </c>
      <c r="M102" s="97">
        <v>0</v>
      </c>
      <c r="N102" s="97">
        <f t="shared" ref="N102:P102" si="112">+N103+N107+N114</f>
        <v>0</v>
      </c>
      <c r="O102" s="97">
        <f t="shared" si="112"/>
        <v>14954.55</v>
      </c>
      <c r="P102" s="105">
        <f t="shared" si="112"/>
        <v>0</v>
      </c>
    </row>
    <row r="103" spans="1:16" s="78" customFormat="1" x14ac:dyDescent="0.25">
      <c r="A103" s="136" t="s">
        <v>105</v>
      </c>
      <c r="B103" s="137"/>
      <c r="C103" s="143"/>
      <c r="D103" s="70" t="s">
        <v>106</v>
      </c>
      <c r="E103" s="71">
        <v>17395.55</v>
      </c>
      <c r="F103" s="103">
        <f>+F104</f>
        <v>1528.51</v>
      </c>
      <c r="G103" s="103">
        <v>121780</v>
      </c>
      <c r="H103" s="103">
        <f t="shared" ref="H103" si="113">+G103/7.5345</f>
        <v>16162.983608733161</v>
      </c>
      <c r="I103" s="103">
        <v>110003.7</v>
      </c>
      <c r="J103" s="103">
        <f>+J104</f>
        <v>14624.55</v>
      </c>
      <c r="K103" s="103">
        <f t="shared" si="5"/>
        <v>-14624.55</v>
      </c>
      <c r="L103" s="103">
        <f>+L104</f>
        <v>0</v>
      </c>
      <c r="M103" s="103">
        <v>0</v>
      </c>
      <c r="N103" s="103">
        <f t="shared" ref="N103:P105" si="114">+N104</f>
        <v>0</v>
      </c>
      <c r="O103" s="103">
        <f t="shared" si="114"/>
        <v>14624.55</v>
      </c>
      <c r="P103" s="110">
        <f t="shared" si="114"/>
        <v>0</v>
      </c>
    </row>
    <row r="104" spans="1:16" s="78" customFormat="1" x14ac:dyDescent="0.25">
      <c r="A104" s="138">
        <v>32400</v>
      </c>
      <c r="B104" s="139"/>
      <c r="C104" s="144"/>
      <c r="D104" s="69" t="s">
        <v>81</v>
      </c>
      <c r="E104" s="80">
        <v>17395.55</v>
      </c>
      <c r="F104" s="98">
        <f>+F105</f>
        <v>1528.51</v>
      </c>
      <c r="G104" s="98">
        <v>121780</v>
      </c>
      <c r="H104" s="98">
        <f t="shared" ref="H104" si="115">+G104/7.5345</f>
        <v>16162.983608733161</v>
      </c>
      <c r="I104" s="98">
        <v>110003.7</v>
      </c>
      <c r="J104" s="98">
        <f>+J105</f>
        <v>14624.55</v>
      </c>
      <c r="K104" s="98">
        <f t="shared" si="5"/>
        <v>-14624.55</v>
      </c>
      <c r="L104" s="98">
        <f>+L105</f>
        <v>0</v>
      </c>
      <c r="M104" s="98">
        <v>0</v>
      </c>
      <c r="N104" s="98">
        <f t="shared" si="114"/>
        <v>0</v>
      </c>
      <c r="O104" s="98">
        <f t="shared" si="114"/>
        <v>14624.55</v>
      </c>
      <c r="P104" s="106">
        <f t="shared" si="114"/>
        <v>0</v>
      </c>
    </row>
    <row r="105" spans="1:16" x14ac:dyDescent="0.25">
      <c r="A105" s="43">
        <v>4</v>
      </c>
      <c r="B105" s="50"/>
      <c r="C105" s="50"/>
      <c r="D105" s="44" t="s">
        <v>5</v>
      </c>
      <c r="E105" s="45">
        <v>17395.55</v>
      </c>
      <c r="F105" s="99">
        <f>+F106</f>
        <v>1528.51</v>
      </c>
      <c r="G105" s="99">
        <v>121780</v>
      </c>
      <c r="H105" s="99">
        <f t="shared" ref="H105" si="116">+G105/7.5345</f>
        <v>16162.983608733161</v>
      </c>
      <c r="I105" s="99">
        <v>110003.7</v>
      </c>
      <c r="J105" s="99">
        <f>+J106</f>
        <v>14624.55</v>
      </c>
      <c r="K105" s="99">
        <f t="shared" ref="K105:K127" si="117">+L105-J105</f>
        <v>-14624.55</v>
      </c>
      <c r="L105" s="99">
        <f>+L106</f>
        <v>0</v>
      </c>
      <c r="M105" s="99">
        <v>0</v>
      </c>
      <c r="N105" s="99">
        <f t="shared" si="114"/>
        <v>0</v>
      </c>
      <c r="O105" s="99">
        <f t="shared" si="114"/>
        <v>14624.55</v>
      </c>
      <c r="P105" s="107">
        <f t="shared" si="114"/>
        <v>0</v>
      </c>
    </row>
    <row r="106" spans="1:16" x14ac:dyDescent="0.25">
      <c r="A106" s="43">
        <v>42</v>
      </c>
      <c r="B106" s="50"/>
      <c r="C106" s="50"/>
      <c r="D106" s="44" t="s">
        <v>115</v>
      </c>
      <c r="E106" s="48">
        <v>17395.55</v>
      </c>
      <c r="F106" s="101">
        <v>1528.51</v>
      </c>
      <c r="G106" s="101">
        <v>121780</v>
      </c>
      <c r="H106" s="101">
        <f t="shared" ref="H106" si="118">+G106/7.5345</f>
        <v>16162.983608733161</v>
      </c>
      <c r="I106" s="101">
        <v>110003.7</v>
      </c>
      <c r="J106" s="101">
        <v>14624.55</v>
      </c>
      <c r="K106" s="101">
        <f t="shared" si="117"/>
        <v>-14624.55</v>
      </c>
      <c r="L106" s="101">
        <v>0</v>
      </c>
      <c r="M106" s="101">
        <v>0</v>
      </c>
      <c r="N106" s="101">
        <v>0</v>
      </c>
      <c r="O106" s="101">
        <v>14624.55</v>
      </c>
      <c r="P106" s="108">
        <v>0</v>
      </c>
    </row>
    <row r="107" spans="1:16" s="78" customFormat="1" x14ac:dyDescent="0.25">
      <c r="A107" s="136" t="s">
        <v>107</v>
      </c>
      <c r="B107" s="137"/>
      <c r="C107" s="76"/>
      <c r="D107" s="70" t="s">
        <v>108</v>
      </c>
      <c r="E107" s="71">
        <f>+E108+E111</f>
        <v>6250</v>
      </c>
      <c r="F107" s="103">
        <f>+F108+F111</f>
        <v>2014.4</v>
      </c>
      <c r="G107" s="103">
        <f t="shared" ref="G107:P107" si="119">+G108+G111</f>
        <v>0</v>
      </c>
      <c r="H107" s="103">
        <f t="shared" ref="H107" si="120">+G107/7.5345</f>
        <v>0</v>
      </c>
      <c r="I107" s="103">
        <f t="shared" si="119"/>
        <v>0</v>
      </c>
      <c r="J107" s="103">
        <f>+J108+J111</f>
        <v>0</v>
      </c>
      <c r="K107" s="103">
        <f t="shared" si="117"/>
        <v>0</v>
      </c>
      <c r="L107" s="103">
        <f>+L108+L111</f>
        <v>0</v>
      </c>
      <c r="M107" s="103">
        <f t="shared" si="119"/>
        <v>0</v>
      </c>
      <c r="N107" s="103">
        <f t="shared" si="119"/>
        <v>0</v>
      </c>
      <c r="O107" s="103">
        <f t="shared" si="119"/>
        <v>0</v>
      </c>
      <c r="P107" s="110">
        <f t="shared" si="119"/>
        <v>0</v>
      </c>
    </row>
    <row r="108" spans="1:16" s="78" customFormat="1" x14ac:dyDescent="0.25">
      <c r="A108" s="138">
        <v>11001</v>
      </c>
      <c r="B108" s="139"/>
      <c r="C108" s="77"/>
      <c r="D108" s="69" t="s">
        <v>90</v>
      </c>
      <c r="E108" s="80">
        <v>3000</v>
      </c>
      <c r="F108" s="98">
        <f>+F109</f>
        <v>1583.05</v>
      </c>
      <c r="G108" s="98">
        <v>0</v>
      </c>
      <c r="H108" s="98">
        <f t="shared" ref="H108" si="121">+G108/7.5345</f>
        <v>0</v>
      </c>
      <c r="I108" s="98">
        <v>0</v>
      </c>
      <c r="J108" s="98">
        <f>+J109</f>
        <v>0</v>
      </c>
      <c r="K108" s="98">
        <f t="shared" si="117"/>
        <v>0</v>
      </c>
      <c r="L108" s="98">
        <f>+L109</f>
        <v>0</v>
      </c>
      <c r="M108" s="98">
        <v>0</v>
      </c>
      <c r="N108" s="98">
        <f t="shared" ref="N108:P108" si="122">+N109</f>
        <v>0</v>
      </c>
      <c r="O108" s="98">
        <f t="shared" si="122"/>
        <v>0</v>
      </c>
      <c r="P108" s="106">
        <f t="shared" si="122"/>
        <v>0</v>
      </c>
    </row>
    <row r="109" spans="1:16" x14ac:dyDescent="0.25">
      <c r="A109" s="43">
        <v>4</v>
      </c>
      <c r="B109" s="50"/>
      <c r="C109" s="50"/>
      <c r="D109" s="44" t="s">
        <v>5</v>
      </c>
      <c r="E109" s="45">
        <v>3000</v>
      </c>
      <c r="F109" s="99">
        <f>+F110</f>
        <v>1583.05</v>
      </c>
      <c r="G109" s="99">
        <v>0</v>
      </c>
      <c r="H109" s="99">
        <f t="shared" ref="H109" si="123">+G109/7.5345</f>
        <v>0</v>
      </c>
      <c r="I109" s="99">
        <v>0</v>
      </c>
      <c r="J109" s="99">
        <v>0</v>
      </c>
      <c r="K109" s="99">
        <f t="shared" si="117"/>
        <v>0</v>
      </c>
      <c r="L109" s="99">
        <v>0</v>
      </c>
      <c r="M109" s="99">
        <v>0</v>
      </c>
      <c r="N109" s="99">
        <v>0</v>
      </c>
      <c r="O109" s="99">
        <v>0</v>
      </c>
      <c r="P109" s="107">
        <v>0</v>
      </c>
    </row>
    <row r="110" spans="1:16" x14ac:dyDescent="0.25">
      <c r="A110" s="43">
        <v>42</v>
      </c>
      <c r="B110" s="50"/>
      <c r="C110" s="50"/>
      <c r="D110" s="44" t="s">
        <v>115</v>
      </c>
      <c r="E110" s="45">
        <v>3000</v>
      </c>
      <c r="F110" s="99">
        <v>1583.05</v>
      </c>
      <c r="G110" s="99">
        <v>0</v>
      </c>
      <c r="H110" s="99">
        <f t="shared" ref="H110" si="124">+G110/7.5345</f>
        <v>0</v>
      </c>
      <c r="I110" s="99">
        <v>0</v>
      </c>
      <c r="J110" s="99">
        <v>0</v>
      </c>
      <c r="K110" s="99">
        <f t="shared" si="117"/>
        <v>0</v>
      </c>
      <c r="L110" s="99">
        <v>0</v>
      </c>
      <c r="M110" s="99">
        <v>0</v>
      </c>
      <c r="N110" s="99">
        <v>0</v>
      </c>
      <c r="O110" s="99">
        <v>0</v>
      </c>
      <c r="P110" s="107">
        <v>0</v>
      </c>
    </row>
    <row r="111" spans="1:16" s="78" customFormat="1" x14ac:dyDescent="0.25">
      <c r="A111" s="138">
        <v>53082</v>
      </c>
      <c r="B111" s="139"/>
      <c r="C111" s="76"/>
      <c r="D111" s="80" t="s">
        <v>86</v>
      </c>
      <c r="E111" s="80">
        <v>3250</v>
      </c>
      <c r="F111" s="98">
        <f>+F112</f>
        <v>431.35</v>
      </c>
      <c r="G111" s="98">
        <v>0</v>
      </c>
      <c r="H111" s="98">
        <f t="shared" ref="H111" si="125">+G111/7.5345</f>
        <v>0</v>
      </c>
      <c r="I111" s="98">
        <v>0</v>
      </c>
      <c r="J111" s="98">
        <f>SUM(J112:J113)</f>
        <v>0</v>
      </c>
      <c r="K111" s="98">
        <f t="shared" si="117"/>
        <v>0</v>
      </c>
      <c r="L111" s="98">
        <f>SUM(L112:L113)</f>
        <v>0</v>
      </c>
      <c r="M111" s="98">
        <v>0</v>
      </c>
      <c r="N111" s="98">
        <f t="shared" ref="N111:P111" si="126">SUM(N112:N113)</f>
        <v>0</v>
      </c>
      <c r="O111" s="98">
        <f t="shared" si="126"/>
        <v>0</v>
      </c>
      <c r="P111" s="106">
        <f t="shared" si="126"/>
        <v>0</v>
      </c>
    </row>
    <row r="112" spans="1:16" x14ac:dyDescent="0.25">
      <c r="A112" s="43">
        <v>4</v>
      </c>
      <c r="B112" s="50"/>
      <c r="C112" s="50"/>
      <c r="D112" s="44" t="s">
        <v>5</v>
      </c>
      <c r="E112" s="45">
        <v>3250</v>
      </c>
      <c r="F112" s="99">
        <f>+F113</f>
        <v>431.35</v>
      </c>
      <c r="G112" s="99">
        <v>0</v>
      </c>
      <c r="H112" s="99">
        <f t="shared" ref="H112" si="127">+G112/7.5345</f>
        <v>0</v>
      </c>
      <c r="I112" s="99">
        <v>0</v>
      </c>
      <c r="J112" s="99">
        <v>0</v>
      </c>
      <c r="K112" s="99">
        <f t="shared" si="117"/>
        <v>0</v>
      </c>
      <c r="L112" s="99">
        <v>0</v>
      </c>
      <c r="M112" s="99">
        <v>0</v>
      </c>
      <c r="N112" s="99">
        <v>0</v>
      </c>
      <c r="O112" s="99">
        <v>0</v>
      </c>
      <c r="P112" s="107">
        <v>0</v>
      </c>
    </row>
    <row r="113" spans="1:16" x14ac:dyDescent="0.25">
      <c r="A113" s="43">
        <v>42</v>
      </c>
      <c r="B113" s="50"/>
      <c r="C113" s="50"/>
      <c r="D113" s="44" t="s">
        <v>115</v>
      </c>
      <c r="E113" s="48">
        <v>3250</v>
      </c>
      <c r="F113" s="101">
        <v>431.35</v>
      </c>
      <c r="G113" s="101">
        <v>0</v>
      </c>
      <c r="H113" s="101">
        <f t="shared" ref="H113:H117" si="128">+G113/7.5345</f>
        <v>0</v>
      </c>
      <c r="I113" s="101">
        <v>0</v>
      </c>
      <c r="J113" s="101">
        <v>0</v>
      </c>
      <c r="K113" s="101">
        <f t="shared" si="117"/>
        <v>0</v>
      </c>
      <c r="L113" s="101">
        <v>0</v>
      </c>
      <c r="M113" s="101">
        <v>0</v>
      </c>
      <c r="N113" s="101">
        <v>0</v>
      </c>
      <c r="O113" s="101">
        <v>0</v>
      </c>
      <c r="P113" s="108">
        <v>0</v>
      </c>
    </row>
    <row r="114" spans="1:16" s="78" customFormat="1" x14ac:dyDescent="0.25">
      <c r="A114" s="136" t="s">
        <v>107</v>
      </c>
      <c r="B114" s="137"/>
      <c r="C114" s="76"/>
      <c r="D114" s="70" t="s">
        <v>117</v>
      </c>
      <c r="E114" s="71">
        <f>+E115</f>
        <v>0</v>
      </c>
      <c r="F114" s="103">
        <f>+F115</f>
        <v>0</v>
      </c>
      <c r="G114" s="103">
        <f t="shared" ref="G114" si="129">+F114/7.5345</f>
        <v>0</v>
      </c>
      <c r="H114" s="103">
        <f t="shared" si="128"/>
        <v>0</v>
      </c>
      <c r="I114" s="103">
        <f>+H114/7.5345</f>
        <v>0</v>
      </c>
      <c r="J114" s="103">
        <f>+J115</f>
        <v>330</v>
      </c>
      <c r="K114" s="103">
        <f t="shared" si="117"/>
        <v>0</v>
      </c>
      <c r="L114" s="103">
        <f>+L115</f>
        <v>330</v>
      </c>
      <c r="M114" s="103">
        <f t="shared" ref="M114" si="130">+J114/7.5345</f>
        <v>43.798526776826598</v>
      </c>
      <c r="N114" s="103">
        <f t="shared" ref="N114:P116" si="131">+N115</f>
        <v>0</v>
      </c>
      <c r="O114" s="103">
        <f t="shared" si="131"/>
        <v>330</v>
      </c>
      <c r="P114" s="110">
        <f t="shared" si="131"/>
        <v>0</v>
      </c>
    </row>
    <row r="115" spans="1:16" s="78" customFormat="1" x14ac:dyDescent="0.25">
      <c r="A115" s="138">
        <v>11001</v>
      </c>
      <c r="B115" s="139"/>
      <c r="C115" s="77"/>
      <c r="D115" s="69" t="s">
        <v>90</v>
      </c>
      <c r="E115" s="80"/>
      <c r="F115" s="98">
        <f>+F116</f>
        <v>0</v>
      </c>
      <c r="G115" s="98">
        <v>0</v>
      </c>
      <c r="H115" s="98">
        <f t="shared" si="128"/>
        <v>0</v>
      </c>
      <c r="I115" s="98">
        <v>0</v>
      </c>
      <c r="J115" s="98">
        <f>+J116</f>
        <v>330</v>
      </c>
      <c r="K115" s="98">
        <f t="shared" si="117"/>
        <v>0</v>
      </c>
      <c r="L115" s="98">
        <f>+L116</f>
        <v>330</v>
      </c>
      <c r="M115" s="98">
        <v>0</v>
      </c>
      <c r="N115" s="98">
        <f t="shared" si="131"/>
        <v>0</v>
      </c>
      <c r="O115" s="98">
        <f t="shared" si="131"/>
        <v>330</v>
      </c>
      <c r="P115" s="106">
        <f t="shared" si="131"/>
        <v>0</v>
      </c>
    </row>
    <row r="116" spans="1:16" x14ac:dyDescent="0.25">
      <c r="A116" s="43">
        <v>4</v>
      </c>
      <c r="B116" s="50"/>
      <c r="C116" s="50"/>
      <c r="D116" s="44" t="s">
        <v>5</v>
      </c>
      <c r="E116" s="45"/>
      <c r="F116" s="99">
        <f>+F117</f>
        <v>0</v>
      </c>
      <c r="G116" s="99">
        <v>0</v>
      </c>
      <c r="H116" s="99">
        <f t="shared" si="128"/>
        <v>0</v>
      </c>
      <c r="I116" s="99">
        <v>0</v>
      </c>
      <c r="J116" s="99">
        <f>+J117</f>
        <v>330</v>
      </c>
      <c r="K116" s="99">
        <f t="shared" si="117"/>
        <v>0</v>
      </c>
      <c r="L116" s="99">
        <f>+L117</f>
        <v>330</v>
      </c>
      <c r="M116" s="99">
        <v>0</v>
      </c>
      <c r="N116" s="99">
        <f t="shared" si="131"/>
        <v>0</v>
      </c>
      <c r="O116" s="99">
        <f t="shared" si="131"/>
        <v>330</v>
      </c>
      <c r="P116" s="107">
        <f t="shared" si="131"/>
        <v>0</v>
      </c>
    </row>
    <row r="117" spans="1:16" x14ac:dyDescent="0.25">
      <c r="A117" s="43">
        <v>42</v>
      </c>
      <c r="B117" s="50"/>
      <c r="C117" s="50"/>
      <c r="D117" s="44" t="s">
        <v>115</v>
      </c>
      <c r="E117" s="45"/>
      <c r="F117" s="101">
        <v>0</v>
      </c>
      <c r="G117" s="101">
        <v>0</v>
      </c>
      <c r="H117" s="101">
        <f t="shared" si="128"/>
        <v>0</v>
      </c>
      <c r="I117" s="101">
        <v>0</v>
      </c>
      <c r="J117" s="101">
        <v>330</v>
      </c>
      <c r="K117" s="101">
        <f t="shared" si="117"/>
        <v>0</v>
      </c>
      <c r="L117" s="101">
        <v>330</v>
      </c>
      <c r="M117" s="101">
        <v>0</v>
      </c>
      <c r="N117" s="101">
        <v>0</v>
      </c>
      <c r="O117" s="101">
        <v>330</v>
      </c>
      <c r="P117" s="108">
        <v>0</v>
      </c>
    </row>
    <row r="118" spans="1:16" ht="16.5" x14ac:dyDescent="0.25">
      <c r="A118" s="140">
        <v>9108</v>
      </c>
      <c r="B118" s="141"/>
      <c r="C118" s="142"/>
      <c r="D118" s="67" t="s">
        <v>109</v>
      </c>
      <c r="E118" s="68">
        <v>7160.1399999999994</v>
      </c>
      <c r="F118" s="97">
        <f>+F119+F124</f>
        <v>3216.5</v>
      </c>
      <c r="G118" s="97">
        <v>24361</v>
      </c>
      <c r="H118" s="97">
        <f t="shared" ref="H118" si="132">+G118/7.5345</f>
        <v>3233.2603357887051</v>
      </c>
      <c r="I118" s="97">
        <v>0</v>
      </c>
      <c r="J118" s="97">
        <v>0</v>
      </c>
      <c r="K118" s="97">
        <f t="shared" si="117"/>
        <v>0</v>
      </c>
      <c r="L118" s="97">
        <v>0</v>
      </c>
      <c r="M118" s="97">
        <v>0</v>
      </c>
      <c r="N118" s="97">
        <v>0</v>
      </c>
      <c r="O118" s="97">
        <v>0</v>
      </c>
      <c r="P118" s="105">
        <v>0</v>
      </c>
    </row>
    <row r="119" spans="1:16" s="78" customFormat="1" x14ac:dyDescent="0.25">
      <c r="A119" s="136" t="s">
        <v>110</v>
      </c>
      <c r="B119" s="137"/>
      <c r="C119" s="76"/>
      <c r="D119" s="70" t="s">
        <v>111</v>
      </c>
      <c r="E119" s="80">
        <v>7160.1399999999994</v>
      </c>
      <c r="F119" s="98">
        <f>+F120</f>
        <v>624.74</v>
      </c>
      <c r="G119" s="98">
        <v>24361</v>
      </c>
      <c r="H119" s="98">
        <f t="shared" ref="H119" si="133">+G119/7.5345</f>
        <v>3233.2603357887051</v>
      </c>
      <c r="I119" s="98">
        <v>0</v>
      </c>
      <c r="J119" s="98">
        <v>0</v>
      </c>
      <c r="K119" s="98">
        <f t="shared" si="117"/>
        <v>0</v>
      </c>
      <c r="L119" s="98">
        <v>0</v>
      </c>
      <c r="M119" s="98">
        <v>0</v>
      </c>
      <c r="N119" s="98">
        <v>0</v>
      </c>
      <c r="O119" s="98">
        <v>0</v>
      </c>
      <c r="P119" s="106">
        <v>0</v>
      </c>
    </row>
    <row r="120" spans="1:16" s="78" customFormat="1" x14ac:dyDescent="0.25">
      <c r="A120" s="138">
        <v>11001</v>
      </c>
      <c r="B120" s="139"/>
      <c r="C120" s="76"/>
      <c r="D120" s="69" t="s">
        <v>90</v>
      </c>
      <c r="E120" s="80">
        <v>3408.2</v>
      </c>
      <c r="F120" s="98">
        <f>+F121</f>
        <v>624.74</v>
      </c>
      <c r="G120" s="98">
        <v>4833</v>
      </c>
      <c r="H120" s="98">
        <f t="shared" ref="H120" si="134">+G120/7.5345</f>
        <v>641.44933306788766</v>
      </c>
      <c r="I120" s="98">
        <v>0</v>
      </c>
      <c r="J120" s="98">
        <v>0</v>
      </c>
      <c r="K120" s="98">
        <f t="shared" si="117"/>
        <v>0</v>
      </c>
      <c r="L120" s="98">
        <v>0</v>
      </c>
      <c r="M120" s="98">
        <v>0</v>
      </c>
      <c r="N120" s="98">
        <v>0</v>
      </c>
      <c r="O120" s="98">
        <v>0</v>
      </c>
      <c r="P120" s="106">
        <v>0</v>
      </c>
    </row>
    <row r="121" spans="1:16" x14ac:dyDescent="0.25">
      <c r="A121" s="43">
        <v>3</v>
      </c>
      <c r="B121" s="51"/>
      <c r="C121" s="51"/>
      <c r="D121" s="44" t="s">
        <v>22</v>
      </c>
      <c r="E121" s="45">
        <v>3408.2</v>
      </c>
      <c r="F121" s="99">
        <f>SUM(F122:F123)</f>
        <v>624.74</v>
      </c>
      <c r="G121" s="99">
        <v>4833</v>
      </c>
      <c r="H121" s="99">
        <f t="shared" ref="H121" si="135">+G121/7.5345</f>
        <v>641.44933306788766</v>
      </c>
      <c r="I121" s="99">
        <v>0</v>
      </c>
      <c r="J121" s="99">
        <v>0</v>
      </c>
      <c r="K121" s="99">
        <f t="shared" si="117"/>
        <v>0</v>
      </c>
      <c r="L121" s="99">
        <v>0</v>
      </c>
      <c r="M121" s="99">
        <v>0</v>
      </c>
      <c r="N121" s="99">
        <v>0</v>
      </c>
      <c r="O121" s="99">
        <v>0</v>
      </c>
      <c r="P121" s="107">
        <v>0</v>
      </c>
    </row>
    <row r="122" spans="1:16" x14ac:dyDescent="0.25">
      <c r="A122" s="43">
        <v>31</v>
      </c>
      <c r="B122" s="51"/>
      <c r="C122" s="51"/>
      <c r="D122" s="47" t="s">
        <v>25</v>
      </c>
      <c r="E122" s="45">
        <v>3258.02</v>
      </c>
      <c r="F122" s="99">
        <v>624.74</v>
      </c>
      <c r="G122" s="99">
        <v>4678</v>
      </c>
      <c r="H122" s="99">
        <f t="shared" ref="H122" si="136">+G122/7.5345</f>
        <v>620.87729776362062</v>
      </c>
      <c r="I122" s="99">
        <v>0</v>
      </c>
      <c r="J122" s="99">
        <v>0</v>
      </c>
      <c r="K122" s="99">
        <f t="shared" si="117"/>
        <v>0</v>
      </c>
      <c r="L122" s="99">
        <v>0</v>
      </c>
      <c r="M122" s="99">
        <v>0</v>
      </c>
      <c r="N122" s="99">
        <v>0</v>
      </c>
      <c r="O122" s="99">
        <v>0</v>
      </c>
      <c r="P122" s="107">
        <v>0</v>
      </c>
    </row>
    <row r="123" spans="1:16" ht="14.45" hidden="1" x14ac:dyDescent="0.3">
      <c r="A123" s="43">
        <v>32</v>
      </c>
      <c r="B123" s="51"/>
      <c r="C123" s="51"/>
      <c r="D123" s="47" t="s">
        <v>40</v>
      </c>
      <c r="E123" s="45">
        <v>150.18</v>
      </c>
      <c r="F123" s="99">
        <v>0</v>
      </c>
      <c r="G123" s="99">
        <v>155</v>
      </c>
      <c r="H123" s="99">
        <f t="shared" ref="H123" si="137">+G123/7.5345</f>
        <v>20.572035304267036</v>
      </c>
      <c r="I123" s="99">
        <v>0</v>
      </c>
      <c r="J123" s="99">
        <v>0</v>
      </c>
      <c r="K123" s="99">
        <f t="shared" si="117"/>
        <v>0</v>
      </c>
      <c r="L123" s="99">
        <v>0</v>
      </c>
      <c r="M123" s="99">
        <v>0</v>
      </c>
      <c r="N123" s="99">
        <v>0</v>
      </c>
      <c r="O123" s="99">
        <v>0</v>
      </c>
      <c r="P123" s="107">
        <v>0</v>
      </c>
    </row>
    <row r="124" spans="1:16" s="78" customFormat="1" x14ac:dyDescent="0.25">
      <c r="A124" s="138">
        <v>51100</v>
      </c>
      <c r="B124" s="139"/>
      <c r="C124" s="76"/>
      <c r="D124" s="69" t="s">
        <v>112</v>
      </c>
      <c r="E124" s="80">
        <v>3751.94</v>
      </c>
      <c r="F124" s="98">
        <f>+F125</f>
        <v>2591.7599999999998</v>
      </c>
      <c r="G124" s="98">
        <v>19528</v>
      </c>
      <c r="H124" s="98">
        <f t="shared" ref="H124" si="138">+G124/7.5345</f>
        <v>2591.8110027208172</v>
      </c>
      <c r="I124" s="98">
        <v>0</v>
      </c>
      <c r="J124" s="98">
        <v>0</v>
      </c>
      <c r="K124" s="98">
        <f t="shared" si="117"/>
        <v>0</v>
      </c>
      <c r="L124" s="98">
        <v>0</v>
      </c>
      <c r="M124" s="98">
        <v>0</v>
      </c>
      <c r="N124" s="98">
        <v>0</v>
      </c>
      <c r="O124" s="98">
        <v>0</v>
      </c>
      <c r="P124" s="106">
        <v>0</v>
      </c>
    </row>
    <row r="125" spans="1:16" x14ac:dyDescent="0.25">
      <c r="A125" s="43">
        <v>3</v>
      </c>
      <c r="B125" s="51"/>
      <c r="C125" s="51"/>
      <c r="D125" s="44" t="s">
        <v>22</v>
      </c>
      <c r="E125" s="45">
        <v>3751.94</v>
      </c>
      <c r="F125" s="99">
        <f>SUM(F126:F127)</f>
        <v>2591.7599999999998</v>
      </c>
      <c r="G125" s="99">
        <v>19528</v>
      </c>
      <c r="H125" s="99">
        <f t="shared" ref="H125" si="139">+G125/7.5345</f>
        <v>2591.8110027208172</v>
      </c>
      <c r="I125" s="99">
        <v>0</v>
      </c>
      <c r="J125" s="99">
        <v>0</v>
      </c>
      <c r="K125" s="99">
        <f t="shared" si="117"/>
        <v>0</v>
      </c>
      <c r="L125" s="99">
        <v>0</v>
      </c>
      <c r="M125" s="99">
        <v>0</v>
      </c>
      <c r="N125" s="99">
        <v>0</v>
      </c>
      <c r="O125" s="99">
        <v>0</v>
      </c>
      <c r="P125" s="107">
        <v>0</v>
      </c>
    </row>
    <row r="126" spans="1:16" ht="15.6" customHeight="1" x14ac:dyDescent="0.25">
      <c r="A126" s="43">
        <v>31</v>
      </c>
      <c r="B126" s="51"/>
      <c r="C126" s="51"/>
      <c r="D126" s="44" t="s">
        <v>25</v>
      </c>
      <c r="E126" s="45">
        <v>3586.62</v>
      </c>
      <c r="F126" s="99">
        <v>2518.12</v>
      </c>
      <c r="G126" s="99">
        <v>18901</v>
      </c>
      <c r="H126" s="99">
        <f t="shared" ref="H126" si="140">+G126/7.5345</f>
        <v>2508.5938018448469</v>
      </c>
      <c r="I126" s="99">
        <v>0</v>
      </c>
      <c r="J126" s="99">
        <v>0</v>
      </c>
      <c r="K126" s="99">
        <f t="shared" si="117"/>
        <v>0</v>
      </c>
      <c r="L126" s="99">
        <v>0</v>
      </c>
      <c r="M126" s="99">
        <v>0</v>
      </c>
      <c r="N126" s="99">
        <v>0</v>
      </c>
      <c r="O126" s="99">
        <v>0</v>
      </c>
      <c r="P126" s="107">
        <v>0</v>
      </c>
    </row>
    <row r="127" spans="1:16" x14ac:dyDescent="0.25">
      <c r="A127" s="46">
        <v>32</v>
      </c>
      <c r="B127" s="52"/>
      <c r="C127" s="52"/>
      <c r="D127" s="47" t="s">
        <v>40</v>
      </c>
      <c r="E127" s="48">
        <v>165.32</v>
      </c>
      <c r="F127" s="101">
        <v>73.64</v>
      </c>
      <c r="G127" s="101">
        <v>627</v>
      </c>
      <c r="H127" s="101">
        <f t="shared" ref="H127" si="141">+G127/7.5345</f>
        <v>83.217200875970534</v>
      </c>
      <c r="I127" s="101">
        <v>0</v>
      </c>
      <c r="J127" s="101">
        <v>0</v>
      </c>
      <c r="K127" s="101">
        <f t="shared" si="117"/>
        <v>0</v>
      </c>
      <c r="L127" s="101">
        <v>0</v>
      </c>
      <c r="M127" s="101">
        <v>0</v>
      </c>
      <c r="N127" s="101">
        <v>0</v>
      </c>
      <c r="O127" s="101">
        <v>0</v>
      </c>
      <c r="P127" s="108">
        <v>0</v>
      </c>
    </row>
    <row r="128" spans="1:16" x14ac:dyDescent="0.25">
      <c r="E128" s="79"/>
      <c r="F128" s="79"/>
      <c r="G128" s="79"/>
      <c r="H128" s="79"/>
      <c r="I128" s="79"/>
      <c r="J128" s="79"/>
      <c r="K128" s="79"/>
      <c r="L128" s="79"/>
      <c r="M128" s="49"/>
      <c r="N128" s="49"/>
      <c r="O128" s="49"/>
      <c r="P128" s="49"/>
    </row>
    <row r="129" spans="5:16" x14ac:dyDescent="0.25"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</row>
    <row r="130" spans="5:16" x14ac:dyDescent="0.25"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</row>
    <row r="131" spans="5:16" x14ac:dyDescent="0.25"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</row>
    <row r="132" spans="5:16" x14ac:dyDescent="0.25"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</row>
    <row r="133" spans="5:16" x14ac:dyDescent="0.25"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</row>
    <row r="134" spans="5:16" x14ac:dyDescent="0.25"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</row>
    <row r="135" spans="5:16" x14ac:dyDescent="0.25"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</row>
    <row r="136" spans="5:16" x14ac:dyDescent="0.25"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</row>
    <row r="137" spans="5:16" x14ac:dyDescent="0.25"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</row>
    <row r="138" spans="5:16" x14ac:dyDescent="0.25"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</row>
    <row r="139" spans="5:16" x14ac:dyDescent="0.25"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</row>
    <row r="140" spans="5:16" x14ac:dyDescent="0.25"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</row>
    <row r="141" spans="5:16" x14ac:dyDescent="0.25"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</row>
  </sheetData>
  <mergeCells count="63">
    <mergeCell ref="A14:C14"/>
    <mergeCell ref="A1:O1"/>
    <mergeCell ref="A3:O3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31:C31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7:C27"/>
    <mergeCell ref="A28:C28"/>
    <mergeCell ref="A66:C66"/>
    <mergeCell ref="A32:C32"/>
    <mergeCell ref="A37:C37"/>
    <mergeCell ref="A42:C42"/>
    <mergeCell ref="A45:C45"/>
    <mergeCell ref="A46:C46"/>
    <mergeCell ref="A51:C51"/>
    <mergeCell ref="A52:C52"/>
    <mergeCell ref="A53:C53"/>
    <mergeCell ref="A56:C56"/>
    <mergeCell ref="A57:C57"/>
    <mergeCell ref="A65:C65"/>
    <mergeCell ref="A61:C61"/>
    <mergeCell ref="A62:C62"/>
    <mergeCell ref="A89:C89"/>
    <mergeCell ref="A90:C90"/>
    <mergeCell ref="A102:C102"/>
    <mergeCell ref="A103:C103"/>
    <mergeCell ref="A104:C104"/>
    <mergeCell ref="A94:C94"/>
    <mergeCell ref="A95:C95"/>
    <mergeCell ref="A93:C93"/>
    <mergeCell ref="A98:C98"/>
    <mergeCell ref="A99:C99"/>
    <mergeCell ref="A69:C69"/>
    <mergeCell ref="A73:C73"/>
    <mergeCell ref="A78:C78"/>
    <mergeCell ref="A85:C85"/>
    <mergeCell ref="A86:C86"/>
    <mergeCell ref="A70:B70"/>
    <mergeCell ref="A107:B107"/>
    <mergeCell ref="A124:B124"/>
    <mergeCell ref="A118:C118"/>
    <mergeCell ref="A114:B114"/>
    <mergeCell ref="A115:B115"/>
    <mergeCell ref="A108:B108"/>
    <mergeCell ref="A111:B111"/>
    <mergeCell ref="A119:B119"/>
    <mergeCell ref="A120:B120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rowBreaks count="1" manualBreakCount="1">
    <brk id="8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zoomScale="90" zoomScaleNormal="90" workbookViewId="0">
      <selection activeCell="E101" sqref="E101"/>
    </sheetView>
  </sheetViews>
  <sheetFormatPr defaultColWidth="8.85546875" defaultRowHeight="15" x14ac:dyDescent="0.25"/>
  <cols>
    <col min="1" max="1" width="12" style="56" customWidth="1"/>
    <col min="2" max="2" width="8.42578125" style="56" hidden="1" customWidth="1"/>
    <col min="3" max="3" width="8.7109375" style="56" hidden="1" customWidth="1"/>
    <col min="4" max="4" width="39.140625" style="56" bestFit="1" customWidth="1"/>
    <col min="5" max="9" width="25.28515625" style="56" customWidth="1"/>
    <col min="10" max="16384" width="8.85546875" style="56"/>
  </cols>
  <sheetData>
    <row r="1" spans="1:9" ht="42" customHeight="1" x14ac:dyDescent="0.25">
      <c r="A1" s="114" t="s">
        <v>64</v>
      </c>
      <c r="B1" s="114"/>
      <c r="C1" s="114"/>
      <c r="D1" s="114"/>
      <c r="E1" s="114"/>
      <c r="F1" s="114"/>
      <c r="G1" s="114"/>
      <c r="H1" s="114"/>
      <c r="I1" s="114"/>
    </row>
    <row r="2" spans="1:9" ht="17.45" x14ac:dyDescent="0.3">
      <c r="A2" s="28"/>
      <c r="B2" s="28"/>
      <c r="C2" s="28"/>
      <c r="D2" s="28"/>
      <c r="E2" s="28"/>
      <c r="F2" s="28"/>
      <c r="G2" s="28"/>
      <c r="H2" s="5"/>
      <c r="I2" s="5"/>
    </row>
    <row r="3" spans="1:9" ht="18" customHeight="1" x14ac:dyDescent="0.3">
      <c r="A3" s="114" t="s">
        <v>36</v>
      </c>
      <c r="B3" s="162"/>
      <c r="C3" s="162"/>
      <c r="D3" s="162"/>
      <c r="E3" s="162"/>
      <c r="F3" s="162"/>
      <c r="G3" s="162"/>
      <c r="H3" s="162"/>
      <c r="I3" s="162"/>
    </row>
    <row r="4" spans="1:9" ht="17.45" x14ac:dyDescent="0.3">
      <c r="A4" s="28"/>
      <c r="B4" s="28"/>
      <c r="C4" s="28"/>
      <c r="D4" s="28"/>
      <c r="E4" s="28"/>
      <c r="F4" s="28"/>
      <c r="G4" s="28"/>
      <c r="H4" s="5"/>
      <c r="I4" s="5"/>
    </row>
    <row r="5" spans="1:9" ht="25.5" x14ac:dyDescent="0.25">
      <c r="A5" s="163" t="s">
        <v>38</v>
      </c>
      <c r="B5" s="164"/>
      <c r="C5" s="165"/>
      <c r="D5" s="57" t="s">
        <v>39</v>
      </c>
      <c r="E5" s="57" t="s">
        <v>12</v>
      </c>
      <c r="F5" s="58" t="s">
        <v>13</v>
      </c>
      <c r="G5" s="58" t="s">
        <v>57</v>
      </c>
      <c r="H5" s="58" t="s">
        <v>58</v>
      </c>
      <c r="I5" s="58" t="s">
        <v>59</v>
      </c>
    </row>
    <row r="6" spans="1:9" ht="14.45" hidden="1" x14ac:dyDescent="0.3">
      <c r="A6" s="166" t="s">
        <v>45</v>
      </c>
      <c r="B6" s="167"/>
      <c r="C6" s="168"/>
      <c r="D6" s="59" t="s">
        <v>46</v>
      </c>
      <c r="E6" s="60"/>
      <c r="F6" s="61"/>
      <c r="G6" s="61"/>
      <c r="H6" s="61"/>
      <c r="I6" s="61"/>
    </row>
    <row r="7" spans="1:9" ht="14.45" hidden="1" x14ac:dyDescent="0.3">
      <c r="A7" s="166" t="s">
        <v>47</v>
      </c>
      <c r="B7" s="167"/>
      <c r="C7" s="168"/>
      <c r="D7" s="59" t="s">
        <v>48</v>
      </c>
      <c r="E7" s="60"/>
      <c r="F7" s="61"/>
      <c r="G7" s="61"/>
      <c r="H7" s="61"/>
      <c r="I7" s="61"/>
    </row>
    <row r="8" spans="1:9" ht="14.45" hidden="1" x14ac:dyDescent="0.3">
      <c r="A8" s="159" t="s">
        <v>49</v>
      </c>
      <c r="B8" s="160"/>
      <c r="C8" s="161"/>
      <c r="D8" s="62" t="s">
        <v>50</v>
      </c>
      <c r="E8" s="60"/>
      <c r="F8" s="61"/>
      <c r="G8" s="61"/>
      <c r="H8" s="61"/>
      <c r="I8" s="63"/>
    </row>
    <row r="9" spans="1:9" ht="14.45" hidden="1" x14ac:dyDescent="0.3">
      <c r="A9" s="153">
        <v>3</v>
      </c>
      <c r="B9" s="154"/>
      <c r="C9" s="155"/>
      <c r="D9" s="64" t="s">
        <v>24</v>
      </c>
      <c r="E9" s="60"/>
      <c r="F9" s="61"/>
      <c r="G9" s="61"/>
      <c r="H9" s="61"/>
      <c r="I9" s="63"/>
    </row>
    <row r="10" spans="1:9" ht="14.45" hidden="1" x14ac:dyDescent="0.3">
      <c r="A10" s="156">
        <v>31</v>
      </c>
      <c r="B10" s="157"/>
      <c r="C10" s="158"/>
      <c r="D10" s="64" t="s">
        <v>25</v>
      </c>
      <c r="E10" s="60"/>
      <c r="F10" s="61"/>
      <c r="G10" s="61"/>
      <c r="H10" s="61"/>
      <c r="I10" s="63"/>
    </row>
    <row r="11" spans="1:9" ht="14.45" hidden="1" x14ac:dyDescent="0.3">
      <c r="A11" s="156">
        <v>32</v>
      </c>
      <c r="B11" s="157"/>
      <c r="C11" s="158"/>
      <c r="D11" s="64" t="s">
        <v>40</v>
      </c>
      <c r="E11" s="60"/>
      <c r="F11" s="61"/>
      <c r="G11" s="61"/>
      <c r="H11" s="61"/>
      <c r="I11" s="63"/>
    </row>
    <row r="12" spans="1:9" ht="14.45" hidden="1" x14ac:dyDescent="0.3">
      <c r="A12" s="166" t="s">
        <v>45</v>
      </c>
      <c r="B12" s="167"/>
      <c r="C12" s="168"/>
      <c r="D12" s="59" t="s">
        <v>46</v>
      </c>
      <c r="E12" s="60"/>
      <c r="F12" s="61"/>
      <c r="G12" s="61"/>
      <c r="H12" s="61"/>
      <c r="I12" s="61"/>
    </row>
    <row r="13" spans="1:9" ht="14.25" hidden="1" customHeight="1" x14ac:dyDescent="0.3">
      <c r="A13" s="166" t="s">
        <v>51</v>
      </c>
      <c r="B13" s="167"/>
      <c r="C13" s="168"/>
      <c r="D13" s="59" t="s">
        <v>52</v>
      </c>
      <c r="E13" s="60"/>
      <c r="F13" s="61"/>
      <c r="G13" s="61"/>
      <c r="H13" s="61"/>
      <c r="I13" s="61"/>
    </row>
    <row r="14" spans="1:9" ht="15" hidden="1" customHeight="1" x14ac:dyDescent="0.3">
      <c r="A14" s="159" t="s">
        <v>49</v>
      </c>
      <c r="B14" s="160"/>
      <c r="C14" s="161"/>
      <c r="D14" s="62" t="s">
        <v>50</v>
      </c>
      <c r="E14" s="60"/>
      <c r="F14" s="61"/>
      <c r="G14" s="61"/>
      <c r="H14" s="61"/>
      <c r="I14" s="63"/>
    </row>
    <row r="15" spans="1:9" ht="14.45" hidden="1" x14ac:dyDescent="0.3">
      <c r="A15" s="153">
        <v>3</v>
      </c>
      <c r="B15" s="154"/>
      <c r="C15" s="155"/>
      <c r="D15" s="64" t="s">
        <v>24</v>
      </c>
      <c r="E15" s="60"/>
      <c r="F15" s="61"/>
      <c r="G15" s="61"/>
      <c r="H15" s="61"/>
      <c r="I15" s="63"/>
    </row>
    <row r="16" spans="1:9" ht="14.45" hidden="1" x14ac:dyDescent="0.3">
      <c r="A16" s="156">
        <v>32</v>
      </c>
      <c r="B16" s="157"/>
      <c r="C16" s="158"/>
      <c r="D16" s="64" t="s">
        <v>40</v>
      </c>
      <c r="E16" s="60"/>
      <c r="F16" s="61"/>
      <c r="G16" s="61"/>
      <c r="H16" s="61"/>
      <c r="I16" s="63"/>
    </row>
    <row r="17" spans="1:15" ht="15" hidden="1" customHeight="1" x14ac:dyDescent="0.3">
      <c r="A17" s="159" t="s">
        <v>49</v>
      </c>
      <c r="B17" s="160"/>
      <c r="C17" s="161"/>
      <c r="D17" s="62" t="s">
        <v>50</v>
      </c>
      <c r="E17" s="60"/>
      <c r="F17" s="61"/>
      <c r="G17" s="61"/>
      <c r="H17" s="61"/>
      <c r="I17" s="63"/>
    </row>
    <row r="18" spans="1:15" ht="26.45" hidden="1" x14ac:dyDescent="0.3">
      <c r="A18" s="153">
        <v>4</v>
      </c>
      <c r="B18" s="154"/>
      <c r="C18" s="155"/>
      <c r="D18" s="64" t="s">
        <v>26</v>
      </c>
      <c r="E18" s="60"/>
      <c r="F18" s="61"/>
      <c r="G18" s="61"/>
      <c r="H18" s="61"/>
      <c r="I18" s="63"/>
    </row>
    <row r="19" spans="1:15" ht="26.45" hidden="1" x14ac:dyDescent="0.3">
      <c r="A19" s="156">
        <v>42</v>
      </c>
      <c r="B19" s="157"/>
      <c r="C19" s="158"/>
      <c r="D19" s="64" t="s">
        <v>65</v>
      </c>
      <c r="E19" s="60"/>
      <c r="F19" s="61"/>
      <c r="G19" s="61"/>
      <c r="H19" s="61"/>
      <c r="I19" s="63"/>
    </row>
    <row r="20" spans="1:15" s="55" customFormat="1" ht="16.5" x14ac:dyDescent="0.25">
      <c r="A20" s="140" t="s">
        <v>113</v>
      </c>
      <c r="B20" s="141"/>
      <c r="C20" s="142"/>
      <c r="D20" s="65" t="s">
        <v>114</v>
      </c>
      <c r="E20" s="66">
        <f>+E21+E47+E82+E94</f>
        <v>5590000.71</v>
      </c>
      <c r="F20" s="66">
        <f>+F21+F47+F82+F94</f>
        <v>7014703</v>
      </c>
      <c r="G20" s="66">
        <f>+G21+G47+G82+G94</f>
        <v>6998739.9799999995</v>
      </c>
      <c r="H20" s="66">
        <f>+H21+H47+H82+H94</f>
        <v>5554621.7699999996</v>
      </c>
      <c r="I20" s="82">
        <f>+I21+I47+I82+I94</f>
        <v>5554621.7699999996</v>
      </c>
      <c r="J20" s="56"/>
      <c r="K20" s="56"/>
      <c r="L20" s="56"/>
      <c r="M20" s="56"/>
      <c r="N20" s="56"/>
      <c r="O20" s="56"/>
    </row>
    <row r="21" spans="1:15" ht="27.6" x14ac:dyDescent="0.3">
      <c r="A21" s="140">
        <v>2201</v>
      </c>
      <c r="B21" s="141"/>
      <c r="C21" s="142"/>
      <c r="D21" s="67" t="s">
        <v>72</v>
      </c>
      <c r="E21" s="68">
        <f>+E22+E27+E31+E41</f>
        <v>5274328.2700000005</v>
      </c>
      <c r="F21" s="68">
        <f t="shared" ref="F21:I21" si="0">+F22+F27+F31+F41</f>
        <v>5407038</v>
      </c>
      <c r="G21" s="68">
        <f t="shared" si="0"/>
        <v>5531844.9799999995</v>
      </c>
      <c r="H21" s="68">
        <f t="shared" si="0"/>
        <v>5522050.1299999999</v>
      </c>
      <c r="I21" s="83">
        <f t="shared" si="0"/>
        <v>5522050.1299999999</v>
      </c>
    </row>
    <row r="22" spans="1:15" s="78" customFormat="1" ht="14.45" x14ac:dyDescent="0.3">
      <c r="A22" s="140" t="s">
        <v>73</v>
      </c>
      <c r="B22" s="141"/>
      <c r="C22" s="142"/>
      <c r="D22" s="69" t="s">
        <v>74</v>
      </c>
      <c r="E22" s="80">
        <f>+E23</f>
        <v>300943.08</v>
      </c>
      <c r="F22" s="80">
        <f t="shared" ref="F22:I22" si="1">+F23</f>
        <v>307489</v>
      </c>
      <c r="G22" s="80">
        <f t="shared" si="1"/>
        <v>307490.48</v>
      </c>
      <c r="H22" s="80">
        <f t="shared" si="1"/>
        <v>307490.48</v>
      </c>
      <c r="I22" s="81">
        <f t="shared" si="1"/>
        <v>307490.48</v>
      </c>
    </row>
    <row r="23" spans="1:15" s="78" customFormat="1" ht="16.5" x14ac:dyDescent="0.25">
      <c r="A23" s="140">
        <v>48007</v>
      </c>
      <c r="B23" s="141"/>
      <c r="C23" s="142"/>
      <c r="D23" s="69" t="s">
        <v>75</v>
      </c>
      <c r="E23" s="80">
        <v>300943.08</v>
      </c>
      <c r="F23" s="80">
        <v>307489</v>
      </c>
      <c r="G23" s="80">
        <v>307490.48</v>
      </c>
      <c r="H23" s="80">
        <v>307490.48</v>
      </c>
      <c r="I23" s="81">
        <v>307490.48</v>
      </c>
    </row>
    <row r="24" spans="1:15" s="79" customFormat="1" ht="14.45" x14ac:dyDescent="0.3">
      <c r="A24" s="43">
        <v>3</v>
      </c>
      <c r="B24" s="51"/>
      <c r="C24" s="51"/>
      <c r="D24" s="44" t="s">
        <v>22</v>
      </c>
      <c r="E24" s="45">
        <v>300943.08</v>
      </c>
      <c r="F24" s="45">
        <v>307489</v>
      </c>
      <c r="G24" s="45">
        <v>307490.48</v>
      </c>
      <c r="H24" s="45">
        <v>307490.48</v>
      </c>
      <c r="I24" s="53">
        <v>307490.48</v>
      </c>
    </row>
    <row r="25" spans="1:15" s="79" customFormat="1" ht="14.45" x14ac:dyDescent="0.3">
      <c r="A25" s="43">
        <v>32</v>
      </c>
      <c r="B25" s="51"/>
      <c r="C25" s="51"/>
      <c r="D25" s="44" t="s">
        <v>40</v>
      </c>
      <c r="E25" s="45">
        <v>296713.47000000003</v>
      </c>
      <c r="F25" s="45">
        <v>304489</v>
      </c>
      <c r="G25" s="45">
        <v>306360.3</v>
      </c>
      <c r="H25" s="45">
        <v>306360.3</v>
      </c>
      <c r="I25" s="53">
        <v>306360.3</v>
      </c>
    </row>
    <row r="26" spans="1:15" s="79" customFormat="1" ht="14.45" x14ac:dyDescent="0.3">
      <c r="A26" s="43">
        <v>34</v>
      </c>
      <c r="B26" s="51"/>
      <c r="C26" s="51"/>
      <c r="D26" s="47" t="s">
        <v>76</v>
      </c>
      <c r="E26" s="45">
        <v>4229.6099999999997</v>
      </c>
      <c r="F26" s="45">
        <v>3000</v>
      </c>
      <c r="G26" s="45">
        <v>1130.18</v>
      </c>
      <c r="H26" s="45">
        <v>1130.18</v>
      </c>
      <c r="I26" s="53">
        <v>1130.18</v>
      </c>
    </row>
    <row r="27" spans="1:15" s="78" customFormat="1" ht="16.5" x14ac:dyDescent="0.25">
      <c r="A27" s="140" t="s">
        <v>77</v>
      </c>
      <c r="B27" s="141"/>
      <c r="C27" s="142"/>
      <c r="D27" s="69" t="s">
        <v>78</v>
      </c>
      <c r="E27" s="80">
        <f>+E28</f>
        <v>235037.32</v>
      </c>
      <c r="F27" s="80">
        <f t="shared" ref="F27:I27" si="2">+F28</f>
        <v>275539</v>
      </c>
      <c r="G27" s="80">
        <f t="shared" si="2"/>
        <v>275536.67</v>
      </c>
      <c r="H27" s="80">
        <f t="shared" si="2"/>
        <v>275536.67</v>
      </c>
      <c r="I27" s="81">
        <f t="shared" si="2"/>
        <v>275536.67</v>
      </c>
    </row>
    <row r="28" spans="1:15" s="78" customFormat="1" ht="16.5" x14ac:dyDescent="0.25">
      <c r="A28" s="140">
        <v>48007</v>
      </c>
      <c r="B28" s="141"/>
      <c r="C28" s="142"/>
      <c r="D28" s="69" t="s">
        <v>75</v>
      </c>
      <c r="E28" s="80">
        <v>235037.32</v>
      </c>
      <c r="F28" s="80">
        <v>275539</v>
      </c>
      <c r="G28" s="80">
        <v>275536.67</v>
      </c>
      <c r="H28" s="80">
        <v>275536.67</v>
      </c>
      <c r="I28" s="81">
        <v>275536.67</v>
      </c>
    </row>
    <row r="29" spans="1:15" s="79" customFormat="1" ht="14.45" x14ac:dyDescent="0.3">
      <c r="A29" s="43">
        <v>3</v>
      </c>
      <c r="B29" s="51"/>
      <c r="C29" s="51"/>
      <c r="D29" s="44" t="s">
        <v>22</v>
      </c>
      <c r="E29" s="45">
        <v>235037.32</v>
      </c>
      <c r="F29" s="45">
        <v>275539</v>
      </c>
      <c r="G29" s="45">
        <v>275536.67</v>
      </c>
      <c r="H29" s="45">
        <v>275536.67</v>
      </c>
      <c r="I29" s="53">
        <v>275536.67</v>
      </c>
    </row>
    <row r="30" spans="1:15" s="79" customFormat="1" ht="14.45" x14ac:dyDescent="0.3">
      <c r="A30" s="43">
        <v>32</v>
      </c>
      <c r="B30" s="51"/>
      <c r="C30" s="51"/>
      <c r="D30" s="44" t="s">
        <v>40</v>
      </c>
      <c r="E30" s="45">
        <v>235037.32</v>
      </c>
      <c r="F30" s="45">
        <v>275539</v>
      </c>
      <c r="G30" s="45">
        <v>275536.67</v>
      </c>
      <c r="H30" s="45">
        <v>275536.67</v>
      </c>
      <c r="I30" s="53">
        <v>275536.67</v>
      </c>
    </row>
    <row r="31" spans="1:15" s="78" customFormat="1" ht="14.45" x14ac:dyDescent="0.3">
      <c r="A31" s="140" t="s">
        <v>79</v>
      </c>
      <c r="B31" s="141"/>
      <c r="C31" s="142"/>
      <c r="D31" s="67" t="s">
        <v>80</v>
      </c>
      <c r="E31" s="80">
        <f>+E32+E35+E38</f>
        <v>57914.430000000008</v>
      </c>
      <c r="F31" s="80">
        <f t="shared" ref="F31:I31" si="3">+F32+F35+F38</f>
        <v>145500</v>
      </c>
      <c r="G31" s="80">
        <f t="shared" si="3"/>
        <v>61036.990000000005</v>
      </c>
      <c r="H31" s="80">
        <f t="shared" si="3"/>
        <v>51242.14</v>
      </c>
      <c r="I31" s="81">
        <f t="shared" si="3"/>
        <v>51242.14</v>
      </c>
    </row>
    <row r="32" spans="1:15" s="78" customFormat="1" ht="16.5" x14ac:dyDescent="0.25">
      <c r="A32" s="140">
        <v>32400</v>
      </c>
      <c r="B32" s="141"/>
      <c r="C32" s="142"/>
      <c r="D32" s="69" t="s">
        <v>81</v>
      </c>
      <c r="E32" s="80">
        <v>40190.240000000005</v>
      </c>
      <c r="F32" s="80">
        <v>65000</v>
      </c>
      <c r="G32" s="80">
        <v>48981.79</v>
      </c>
      <c r="H32" s="80">
        <v>48981.79</v>
      </c>
      <c r="I32" s="81">
        <v>48981.79</v>
      </c>
    </row>
    <row r="33" spans="1:9" s="79" customFormat="1" ht="14.45" x14ac:dyDescent="0.3">
      <c r="A33" s="43">
        <v>3</v>
      </c>
      <c r="B33" s="51"/>
      <c r="C33" s="51"/>
      <c r="D33" s="44" t="s">
        <v>22</v>
      </c>
      <c r="E33" s="45">
        <v>40190.240000000005</v>
      </c>
      <c r="F33" s="45">
        <v>65000</v>
      </c>
      <c r="G33" s="45">
        <v>48981.79</v>
      </c>
      <c r="H33" s="45">
        <v>48981.79</v>
      </c>
      <c r="I33" s="53">
        <v>48981.79</v>
      </c>
    </row>
    <row r="34" spans="1:9" s="79" customFormat="1" ht="14.45" x14ac:dyDescent="0.3">
      <c r="A34" s="43">
        <v>32</v>
      </c>
      <c r="B34" s="51"/>
      <c r="C34" s="51"/>
      <c r="D34" s="47" t="s">
        <v>40</v>
      </c>
      <c r="E34" s="45">
        <v>40190.240000000005</v>
      </c>
      <c r="F34" s="45">
        <v>65000</v>
      </c>
      <c r="G34" s="45">
        <v>48981.79</v>
      </c>
      <c r="H34" s="45">
        <v>48981.79</v>
      </c>
      <c r="I34" s="53">
        <v>48981.79</v>
      </c>
    </row>
    <row r="35" spans="1:9" s="78" customFormat="1" x14ac:dyDescent="0.25">
      <c r="A35" s="138">
        <v>47400</v>
      </c>
      <c r="B35" s="148"/>
      <c r="C35" s="149"/>
      <c r="D35" s="69" t="s">
        <v>82</v>
      </c>
      <c r="E35" s="80">
        <v>7724.19</v>
      </c>
      <c r="F35" s="80">
        <v>80500</v>
      </c>
      <c r="G35" s="80">
        <v>12055.2</v>
      </c>
      <c r="H35" s="80">
        <v>2260.35</v>
      </c>
      <c r="I35" s="81">
        <v>2260.35</v>
      </c>
    </row>
    <row r="36" spans="1:9" ht="14.45" x14ac:dyDescent="0.3">
      <c r="A36" s="43">
        <v>4</v>
      </c>
      <c r="B36" s="50"/>
      <c r="C36" s="50"/>
      <c r="D36" s="44" t="s">
        <v>5</v>
      </c>
      <c r="E36" s="45">
        <f>+E37</f>
        <v>7724.19</v>
      </c>
      <c r="F36" s="45">
        <f t="shared" ref="F36:H36" si="4">+F37</f>
        <v>80500</v>
      </c>
      <c r="G36" s="45">
        <f t="shared" si="4"/>
        <v>12055.2</v>
      </c>
      <c r="H36" s="45">
        <f t="shared" si="4"/>
        <v>2260.35</v>
      </c>
      <c r="I36" s="53">
        <f>+I37</f>
        <v>2260.35</v>
      </c>
    </row>
    <row r="37" spans="1:9" ht="14.45" x14ac:dyDescent="0.3">
      <c r="A37" s="43">
        <v>42</v>
      </c>
      <c r="B37" s="50"/>
      <c r="C37" s="50"/>
      <c r="D37" s="47" t="s">
        <v>115</v>
      </c>
      <c r="E37" s="45">
        <v>7724.19</v>
      </c>
      <c r="F37" s="45">
        <v>80500</v>
      </c>
      <c r="G37" s="45">
        <v>12055.2</v>
      </c>
      <c r="H37" s="45">
        <v>2260.35</v>
      </c>
      <c r="I37" s="53">
        <v>2260.35</v>
      </c>
    </row>
    <row r="38" spans="1:9" s="78" customFormat="1" ht="14.45" x14ac:dyDescent="0.3">
      <c r="A38" s="138">
        <v>62400</v>
      </c>
      <c r="B38" s="139"/>
      <c r="C38" s="144"/>
      <c r="D38" s="69" t="s">
        <v>83</v>
      </c>
      <c r="E38" s="80">
        <v>10000</v>
      </c>
      <c r="F38" s="80">
        <v>0</v>
      </c>
      <c r="G38" s="80">
        <v>0</v>
      </c>
      <c r="H38" s="80">
        <v>0</v>
      </c>
      <c r="I38" s="81">
        <v>0</v>
      </c>
    </row>
    <row r="39" spans="1:9" ht="14.45" x14ac:dyDescent="0.3">
      <c r="A39" s="43">
        <v>3</v>
      </c>
      <c r="B39" s="50"/>
      <c r="C39" s="50"/>
      <c r="D39" s="44" t="s">
        <v>22</v>
      </c>
      <c r="E39" s="45">
        <v>10000</v>
      </c>
      <c r="F39" s="45">
        <v>0</v>
      </c>
      <c r="G39" s="45">
        <v>0</v>
      </c>
      <c r="H39" s="45">
        <v>0</v>
      </c>
      <c r="I39" s="53">
        <v>0</v>
      </c>
    </row>
    <row r="40" spans="1:9" ht="14.45" x14ac:dyDescent="0.3">
      <c r="A40" s="43">
        <v>32</v>
      </c>
      <c r="B40" s="50"/>
      <c r="C40" s="50"/>
      <c r="D40" s="44" t="s">
        <v>40</v>
      </c>
      <c r="E40" s="45">
        <v>10000</v>
      </c>
      <c r="F40" s="45">
        <v>0</v>
      </c>
      <c r="G40" s="45">
        <v>0</v>
      </c>
      <c r="H40" s="45">
        <v>0</v>
      </c>
      <c r="I40" s="53">
        <v>0</v>
      </c>
    </row>
    <row r="41" spans="1:9" s="78" customFormat="1" x14ac:dyDescent="0.25">
      <c r="A41" s="138" t="s">
        <v>84</v>
      </c>
      <c r="B41" s="139"/>
      <c r="C41" s="144"/>
      <c r="D41" s="67" t="s">
        <v>85</v>
      </c>
      <c r="E41" s="80">
        <f>+E42</f>
        <v>4680433.4400000004</v>
      </c>
      <c r="F41" s="80">
        <f t="shared" ref="F41:I41" si="5">+F42</f>
        <v>4678510</v>
      </c>
      <c r="G41" s="80">
        <f t="shared" si="5"/>
        <v>4887780.84</v>
      </c>
      <c r="H41" s="80">
        <f t="shared" si="5"/>
        <v>4887780.84</v>
      </c>
      <c r="I41" s="81">
        <f t="shared" si="5"/>
        <v>4887780.84</v>
      </c>
    </row>
    <row r="42" spans="1:9" s="78" customFormat="1" x14ac:dyDescent="0.25">
      <c r="A42" s="138">
        <v>53082</v>
      </c>
      <c r="B42" s="139"/>
      <c r="C42" s="144"/>
      <c r="D42" s="69" t="s">
        <v>86</v>
      </c>
      <c r="E42" s="80">
        <v>4680433.4400000004</v>
      </c>
      <c r="F42" s="80">
        <v>4678510</v>
      </c>
      <c r="G42" s="80">
        <v>4887780.84</v>
      </c>
      <c r="H42" s="80">
        <v>4887780.84</v>
      </c>
      <c r="I42" s="81">
        <v>4887780.84</v>
      </c>
    </row>
    <row r="43" spans="1:9" ht="14.45" x14ac:dyDescent="0.3">
      <c r="A43" s="43">
        <v>3</v>
      </c>
      <c r="B43" s="50"/>
      <c r="C43" s="50"/>
      <c r="D43" s="44" t="s">
        <v>22</v>
      </c>
      <c r="E43" s="45">
        <v>4680433.4400000004</v>
      </c>
      <c r="F43" s="45">
        <v>4678510</v>
      </c>
      <c r="G43" s="45">
        <v>4887780.84</v>
      </c>
      <c r="H43" s="45">
        <v>4887780.84</v>
      </c>
      <c r="I43" s="53">
        <v>4887780.84</v>
      </c>
    </row>
    <row r="44" spans="1:9" ht="14.45" x14ac:dyDescent="0.3">
      <c r="A44" s="43">
        <v>31</v>
      </c>
      <c r="B44" s="50"/>
      <c r="C44" s="50"/>
      <c r="D44" s="44" t="s">
        <v>25</v>
      </c>
      <c r="E44" s="45">
        <v>4590543.1100000003</v>
      </c>
      <c r="F44" s="45">
        <v>4637330</v>
      </c>
      <c r="G44" s="45">
        <v>4887780.84</v>
      </c>
      <c r="H44" s="45">
        <v>4887780.84</v>
      </c>
      <c r="I44" s="53">
        <v>4887780.84</v>
      </c>
    </row>
    <row r="45" spans="1:9" ht="14.45" x14ac:dyDescent="0.3">
      <c r="A45" s="43">
        <v>32</v>
      </c>
      <c r="B45" s="50"/>
      <c r="C45" s="50"/>
      <c r="D45" s="44" t="s">
        <v>40</v>
      </c>
      <c r="E45" s="45">
        <v>49408.12</v>
      </c>
      <c r="F45" s="45">
        <v>29380</v>
      </c>
      <c r="G45" s="45">
        <v>0</v>
      </c>
      <c r="H45" s="45">
        <v>0</v>
      </c>
      <c r="I45" s="53">
        <v>0</v>
      </c>
    </row>
    <row r="46" spans="1:9" ht="14.45" x14ac:dyDescent="0.3">
      <c r="A46" s="43">
        <v>34</v>
      </c>
      <c r="B46" s="50"/>
      <c r="C46" s="50"/>
      <c r="D46" s="44" t="s">
        <v>76</v>
      </c>
      <c r="E46" s="48">
        <v>40482.21</v>
      </c>
      <c r="F46" s="48">
        <v>11800</v>
      </c>
      <c r="G46" s="48">
        <v>0</v>
      </c>
      <c r="H46" s="48">
        <v>0</v>
      </c>
      <c r="I46" s="54">
        <v>0</v>
      </c>
    </row>
    <row r="47" spans="1:9" s="78" customFormat="1" ht="14.45" x14ac:dyDescent="0.3">
      <c r="A47" s="138">
        <v>2301</v>
      </c>
      <c r="B47" s="139"/>
      <c r="C47" s="144"/>
      <c r="D47" s="67" t="s">
        <v>87</v>
      </c>
      <c r="E47" s="68">
        <f>+E48+E52+E57+E61+E74+E78</f>
        <v>284866.75</v>
      </c>
      <c r="F47" s="68">
        <f>+F48+F52+F57+F61+F74+F78</f>
        <v>1461524</v>
      </c>
      <c r="G47" s="68">
        <f>+G48+G52+G57+G61+G74+G78</f>
        <v>1356891.3000000003</v>
      </c>
      <c r="H47" s="68">
        <f>+H48+H52+H57+H61+H74+H78</f>
        <v>32571.64</v>
      </c>
      <c r="I47" s="83">
        <f>+I48+I52+I57+I61+I74+I78</f>
        <v>32571.64</v>
      </c>
    </row>
    <row r="48" spans="1:9" s="78" customFormat="1" x14ac:dyDescent="0.25">
      <c r="A48" s="138" t="s">
        <v>88</v>
      </c>
      <c r="B48" s="139"/>
      <c r="C48" s="144"/>
      <c r="D48" s="69" t="s">
        <v>89</v>
      </c>
      <c r="E48" s="80">
        <f>+E49</f>
        <v>0</v>
      </c>
      <c r="F48" s="80">
        <f t="shared" ref="F48:I48" si="6">+F49</f>
        <v>22570</v>
      </c>
      <c r="G48" s="80">
        <f t="shared" si="6"/>
        <v>22573.360000000001</v>
      </c>
      <c r="H48" s="80">
        <f t="shared" si="6"/>
        <v>22573.360000000001</v>
      </c>
      <c r="I48" s="81">
        <f t="shared" si="6"/>
        <v>22573.360000000001</v>
      </c>
    </row>
    <row r="49" spans="1:9" s="78" customFormat="1" ht="14.45" x14ac:dyDescent="0.3">
      <c r="A49" s="138">
        <v>11001</v>
      </c>
      <c r="B49" s="139"/>
      <c r="C49" s="144"/>
      <c r="D49" s="69" t="s">
        <v>90</v>
      </c>
      <c r="E49" s="80">
        <v>0</v>
      </c>
      <c r="F49" s="80">
        <v>22570</v>
      </c>
      <c r="G49" s="80">
        <v>22573.360000000001</v>
      </c>
      <c r="H49" s="80">
        <v>22573.360000000001</v>
      </c>
      <c r="I49" s="81">
        <v>22573.360000000001</v>
      </c>
    </row>
    <row r="50" spans="1:9" ht="14.45" x14ac:dyDescent="0.3">
      <c r="A50" s="43">
        <v>3</v>
      </c>
      <c r="B50" s="50"/>
      <c r="C50" s="50"/>
      <c r="D50" s="44" t="s">
        <v>22</v>
      </c>
      <c r="E50" s="45">
        <v>0</v>
      </c>
      <c r="F50" s="45">
        <v>22570</v>
      </c>
      <c r="G50" s="45">
        <v>22573.360000000001</v>
      </c>
      <c r="H50" s="45">
        <v>22573.360000000001</v>
      </c>
      <c r="I50" s="53">
        <v>22573.360000000001</v>
      </c>
    </row>
    <row r="51" spans="1:9" ht="14.45" x14ac:dyDescent="0.3">
      <c r="A51" s="43">
        <v>32</v>
      </c>
      <c r="B51" s="50"/>
      <c r="C51" s="50"/>
      <c r="D51" s="44" t="s">
        <v>40</v>
      </c>
      <c r="E51" s="45">
        <v>0</v>
      </c>
      <c r="F51" s="45">
        <v>22570</v>
      </c>
      <c r="G51" s="45">
        <v>22573.360000000001</v>
      </c>
      <c r="H51" s="45">
        <v>22573.360000000001</v>
      </c>
      <c r="I51" s="53">
        <v>22573.360000000001</v>
      </c>
    </row>
    <row r="52" spans="1:9" s="78" customFormat="1" x14ac:dyDescent="0.25">
      <c r="A52" s="138" t="s">
        <v>91</v>
      </c>
      <c r="B52" s="139"/>
      <c r="C52" s="144"/>
      <c r="D52" s="70" t="s">
        <v>92</v>
      </c>
      <c r="E52" s="80">
        <f>+E53</f>
        <v>23738.48</v>
      </c>
      <c r="F52" s="80">
        <f t="shared" ref="F52:I52" si="7">+F53</f>
        <v>0</v>
      </c>
      <c r="G52" s="80">
        <f t="shared" si="7"/>
        <v>0</v>
      </c>
      <c r="H52" s="80">
        <f t="shared" si="7"/>
        <v>0</v>
      </c>
      <c r="I52" s="81">
        <f t="shared" si="7"/>
        <v>0</v>
      </c>
    </row>
    <row r="53" spans="1:9" s="78" customFormat="1" x14ac:dyDescent="0.25">
      <c r="A53" s="138">
        <v>11001</v>
      </c>
      <c r="B53" s="139"/>
      <c r="C53" s="144"/>
      <c r="D53" s="69" t="s">
        <v>90</v>
      </c>
      <c r="E53" s="80">
        <v>23738.48</v>
      </c>
      <c r="F53" s="80">
        <v>0</v>
      </c>
      <c r="G53" s="80">
        <v>0</v>
      </c>
      <c r="H53" s="80">
        <v>0</v>
      </c>
      <c r="I53" s="81">
        <v>0</v>
      </c>
    </row>
    <row r="54" spans="1:9" x14ac:dyDescent="0.25">
      <c r="A54" s="43">
        <v>3</v>
      </c>
      <c r="B54" s="50"/>
      <c r="C54" s="50"/>
      <c r="D54" s="44" t="s">
        <v>22</v>
      </c>
      <c r="E54" s="45">
        <v>23738.48</v>
      </c>
      <c r="F54" s="45">
        <v>0</v>
      </c>
      <c r="G54" s="45">
        <v>0</v>
      </c>
      <c r="H54" s="45">
        <v>0</v>
      </c>
      <c r="I54" s="53">
        <v>0</v>
      </c>
    </row>
    <row r="55" spans="1:9" x14ac:dyDescent="0.25">
      <c r="A55" s="43">
        <v>31</v>
      </c>
      <c r="B55" s="50"/>
      <c r="C55" s="50"/>
      <c r="D55" s="44" t="s">
        <v>25</v>
      </c>
      <c r="E55" s="45">
        <v>22694.68</v>
      </c>
      <c r="F55" s="45">
        <v>0</v>
      </c>
      <c r="G55" s="45">
        <v>0</v>
      </c>
      <c r="H55" s="45">
        <v>0</v>
      </c>
      <c r="I55" s="53">
        <v>0</v>
      </c>
    </row>
    <row r="56" spans="1:9" x14ac:dyDescent="0.25">
      <c r="A56" s="43">
        <v>32</v>
      </c>
      <c r="B56" s="50"/>
      <c r="C56" s="50"/>
      <c r="D56" s="45" t="s">
        <v>40</v>
      </c>
      <c r="E56" s="45">
        <v>1043.8</v>
      </c>
      <c r="F56" s="45">
        <v>0</v>
      </c>
      <c r="G56" s="45">
        <v>0</v>
      </c>
      <c r="H56" s="45">
        <v>0</v>
      </c>
      <c r="I56" s="53">
        <v>0</v>
      </c>
    </row>
    <row r="57" spans="1:9" s="78" customFormat="1" x14ac:dyDescent="0.25">
      <c r="A57" s="138" t="s">
        <v>93</v>
      </c>
      <c r="B57" s="139"/>
      <c r="C57" s="144"/>
      <c r="D57" s="70" t="s">
        <v>94</v>
      </c>
      <c r="E57" s="80">
        <f>+E58</f>
        <v>919.5</v>
      </c>
      <c r="F57" s="80">
        <f t="shared" ref="F57:I57" si="8">+F58</f>
        <v>766</v>
      </c>
      <c r="G57" s="80">
        <f t="shared" si="8"/>
        <v>0</v>
      </c>
      <c r="H57" s="80">
        <f t="shared" si="8"/>
        <v>0</v>
      </c>
      <c r="I57" s="81">
        <f t="shared" si="8"/>
        <v>0</v>
      </c>
    </row>
    <row r="58" spans="1:9" s="78" customFormat="1" x14ac:dyDescent="0.25">
      <c r="A58" s="138">
        <v>53080</v>
      </c>
      <c r="B58" s="139"/>
      <c r="C58" s="144"/>
      <c r="D58" s="69" t="s">
        <v>95</v>
      </c>
      <c r="E58" s="80">
        <v>919.5</v>
      </c>
      <c r="F58" s="80">
        <v>766</v>
      </c>
      <c r="G58" s="80">
        <v>0</v>
      </c>
      <c r="H58" s="80">
        <v>0</v>
      </c>
      <c r="I58" s="81">
        <v>0</v>
      </c>
    </row>
    <row r="59" spans="1:9" x14ac:dyDescent="0.25">
      <c r="A59" s="43">
        <v>3</v>
      </c>
      <c r="B59" s="50"/>
      <c r="C59" s="50"/>
      <c r="D59" s="44" t="s">
        <v>22</v>
      </c>
      <c r="E59" s="45">
        <v>919.5</v>
      </c>
      <c r="F59" s="45">
        <v>766</v>
      </c>
      <c r="G59" s="45">
        <v>0</v>
      </c>
      <c r="H59" s="45">
        <v>0</v>
      </c>
      <c r="I59" s="53">
        <v>0</v>
      </c>
    </row>
    <row r="60" spans="1:9" ht="13.9" customHeight="1" x14ac:dyDescent="0.25">
      <c r="A60" s="43">
        <v>32</v>
      </c>
      <c r="B60" s="50"/>
      <c r="C60" s="50"/>
      <c r="D60" s="44" t="s">
        <v>40</v>
      </c>
      <c r="E60" s="45">
        <v>919.5</v>
      </c>
      <c r="F60" s="45">
        <v>766</v>
      </c>
      <c r="G60" s="45">
        <v>0</v>
      </c>
      <c r="H60" s="45">
        <v>0</v>
      </c>
      <c r="I60" s="53">
        <v>0</v>
      </c>
    </row>
    <row r="61" spans="1:9" s="78" customFormat="1" x14ac:dyDescent="0.25">
      <c r="A61" s="138" t="s">
        <v>96</v>
      </c>
      <c r="B61" s="139"/>
      <c r="C61" s="144"/>
      <c r="D61" s="70" t="s">
        <v>97</v>
      </c>
      <c r="E61" s="80">
        <f>+E62+E67</f>
        <v>258304.77</v>
      </c>
      <c r="F61" s="80">
        <f t="shared" ref="F61:I61" si="9">+F62+F67</f>
        <v>1428188</v>
      </c>
      <c r="G61" s="80">
        <f t="shared" si="9"/>
        <v>1324319.6600000001</v>
      </c>
      <c r="H61" s="80">
        <f t="shared" si="9"/>
        <v>0</v>
      </c>
      <c r="I61" s="81">
        <f t="shared" si="9"/>
        <v>0</v>
      </c>
    </row>
    <row r="62" spans="1:9" s="78" customFormat="1" x14ac:dyDescent="0.25">
      <c r="A62" s="138">
        <v>51001</v>
      </c>
      <c r="B62" s="139"/>
      <c r="C62" s="144"/>
      <c r="D62" s="69" t="s">
        <v>98</v>
      </c>
      <c r="E62" s="80">
        <v>0</v>
      </c>
      <c r="F62" s="80">
        <v>1124443</v>
      </c>
      <c r="G62" s="80">
        <v>1005102.3</v>
      </c>
      <c r="H62" s="80">
        <v>0</v>
      </c>
      <c r="I62" s="81">
        <v>0</v>
      </c>
    </row>
    <row r="63" spans="1:9" x14ac:dyDescent="0.25">
      <c r="A63" s="43">
        <v>3</v>
      </c>
      <c r="B63" s="50"/>
      <c r="C63" s="50"/>
      <c r="D63" s="44" t="s">
        <v>22</v>
      </c>
      <c r="E63" s="45">
        <v>0</v>
      </c>
      <c r="F63" s="45">
        <v>51000</v>
      </c>
      <c r="G63" s="45">
        <v>3013.8</v>
      </c>
      <c r="H63" s="45">
        <v>0</v>
      </c>
      <c r="I63" s="53">
        <v>0</v>
      </c>
    </row>
    <row r="64" spans="1:9" x14ac:dyDescent="0.25">
      <c r="A64" s="43">
        <v>32</v>
      </c>
      <c r="B64" s="50"/>
      <c r="C64" s="50"/>
      <c r="D64" s="44" t="s">
        <v>40</v>
      </c>
      <c r="E64" s="45">
        <v>0</v>
      </c>
      <c r="F64" s="45">
        <v>51000</v>
      </c>
      <c r="G64" s="45">
        <v>3013.8</v>
      </c>
      <c r="H64" s="45">
        <v>0</v>
      </c>
      <c r="I64" s="53">
        <v>0</v>
      </c>
    </row>
    <row r="65" spans="1:9" x14ac:dyDescent="0.25">
      <c r="A65" s="43">
        <v>4</v>
      </c>
      <c r="B65" s="50"/>
      <c r="C65" s="50"/>
      <c r="D65" s="44" t="s">
        <v>5</v>
      </c>
      <c r="E65" s="45">
        <f>+E66</f>
        <v>0</v>
      </c>
      <c r="F65" s="45">
        <f t="shared" ref="F65" si="10">+F66</f>
        <v>1073443</v>
      </c>
      <c r="G65" s="45">
        <f t="shared" ref="G65" si="11">+G66</f>
        <v>1002088.5</v>
      </c>
      <c r="H65" s="45">
        <f t="shared" ref="H65" si="12">+H66</f>
        <v>0</v>
      </c>
      <c r="I65" s="53">
        <f>+I66</f>
        <v>0</v>
      </c>
    </row>
    <row r="66" spans="1:9" x14ac:dyDescent="0.25">
      <c r="A66" s="43">
        <v>42</v>
      </c>
      <c r="B66" s="50"/>
      <c r="C66" s="50"/>
      <c r="D66" s="47" t="s">
        <v>115</v>
      </c>
      <c r="E66" s="45">
        <v>0</v>
      </c>
      <c r="F66" s="45">
        <v>1073443</v>
      </c>
      <c r="G66" s="45">
        <v>1002088.5</v>
      </c>
      <c r="H66" s="45">
        <v>0</v>
      </c>
      <c r="I66" s="53">
        <v>0</v>
      </c>
    </row>
    <row r="67" spans="1:9" s="78" customFormat="1" x14ac:dyDescent="0.25">
      <c r="A67" s="138">
        <v>58400</v>
      </c>
      <c r="B67" s="139"/>
      <c r="C67" s="144"/>
      <c r="D67" s="69" t="s">
        <v>99</v>
      </c>
      <c r="E67" s="80">
        <v>258304.77</v>
      </c>
      <c r="F67" s="80">
        <v>303745</v>
      </c>
      <c r="G67" s="80">
        <v>319217.36000000004</v>
      </c>
      <c r="H67" s="80">
        <v>0</v>
      </c>
      <c r="I67" s="81">
        <v>0</v>
      </c>
    </row>
    <row r="68" spans="1:9" x14ac:dyDescent="0.25">
      <c r="A68" s="43">
        <v>3</v>
      </c>
      <c r="B68" s="51"/>
      <c r="C68" s="51"/>
      <c r="D68" s="44" t="s">
        <v>22</v>
      </c>
      <c r="E68" s="45">
        <v>258304.77</v>
      </c>
      <c r="F68" s="45">
        <v>303745</v>
      </c>
      <c r="G68" s="45">
        <v>281350.92000000004</v>
      </c>
      <c r="H68" s="45">
        <v>0</v>
      </c>
      <c r="I68" s="53">
        <v>0</v>
      </c>
    </row>
    <row r="69" spans="1:9" x14ac:dyDescent="0.25">
      <c r="A69" s="43">
        <v>31</v>
      </c>
      <c r="B69" s="51"/>
      <c r="C69" s="51"/>
      <c r="D69" s="44" t="s">
        <v>25</v>
      </c>
      <c r="E69" s="45">
        <v>203593.93</v>
      </c>
      <c r="F69" s="45">
        <v>229100</v>
      </c>
      <c r="G69" s="45">
        <v>215336.01</v>
      </c>
      <c r="H69" s="45">
        <v>0</v>
      </c>
      <c r="I69" s="53">
        <v>0</v>
      </c>
    </row>
    <row r="70" spans="1:9" x14ac:dyDescent="0.25">
      <c r="A70" s="43">
        <v>32</v>
      </c>
      <c r="B70" s="51"/>
      <c r="C70" s="51"/>
      <c r="D70" s="44" t="s">
        <v>40</v>
      </c>
      <c r="E70" s="45">
        <v>54315.840000000004</v>
      </c>
      <c r="F70" s="45">
        <v>73845</v>
      </c>
      <c r="G70" s="45">
        <v>65261.460000000006</v>
      </c>
      <c r="H70" s="45">
        <v>0</v>
      </c>
      <c r="I70" s="53">
        <v>0</v>
      </c>
    </row>
    <row r="71" spans="1:9" x14ac:dyDescent="0.25">
      <c r="A71" s="43">
        <v>34</v>
      </c>
      <c r="B71" s="51"/>
      <c r="C71" s="51"/>
      <c r="D71" s="44" t="s">
        <v>76</v>
      </c>
      <c r="E71" s="45">
        <v>395</v>
      </c>
      <c r="F71" s="45">
        <v>800</v>
      </c>
      <c r="G71" s="45">
        <v>753.45</v>
      </c>
      <c r="H71" s="45">
        <v>0</v>
      </c>
      <c r="I71" s="53">
        <v>0</v>
      </c>
    </row>
    <row r="72" spans="1:9" x14ac:dyDescent="0.25">
      <c r="A72" s="43">
        <v>4</v>
      </c>
      <c r="B72" s="50"/>
      <c r="C72" s="50"/>
      <c r="D72" s="44" t="s">
        <v>5</v>
      </c>
      <c r="E72" s="45">
        <f>+E73</f>
        <v>0</v>
      </c>
      <c r="F72" s="45">
        <f t="shared" ref="F72" si="13">+F73</f>
        <v>0</v>
      </c>
      <c r="G72" s="45">
        <f t="shared" ref="G72" si="14">+G73</f>
        <v>37866.44</v>
      </c>
      <c r="H72" s="45">
        <f t="shared" ref="H72" si="15">+H73</f>
        <v>0</v>
      </c>
      <c r="I72" s="53">
        <f>+I73</f>
        <v>0</v>
      </c>
    </row>
    <row r="73" spans="1:9" x14ac:dyDescent="0.25">
      <c r="A73" s="43">
        <v>42</v>
      </c>
      <c r="B73" s="51"/>
      <c r="C73" s="51"/>
      <c r="D73" s="44" t="s">
        <v>115</v>
      </c>
      <c r="E73" s="48">
        <v>0</v>
      </c>
      <c r="F73" s="48">
        <v>0</v>
      </c>
      <c r="G73" s="48">
        <v>37866.44</v>
      </c>
      <c r="H73" s="48">
        <v>0</v>
      </c>
      <c r="I73" s="54">
        <v>0</v>
      </c>
    </row>
    <row r="74" spans="1:9" s="78" customFormat="1" x14ac:dyDescent="0.25">
      <c r="A74" s="138" t="s">
        <v>100</v>
      </c>
      <c r="B74" s="139"/>
      <c r="C74" s="144"/>
      <c r="D74" s="70" t="s">
        <v>101</v>
      </c>
      <c r="E74" s="71">
        <f>+E75</f>
        <v>1904</v>
      </c>
      <c r="F74" s="71">
        <f t="shared" ref="F74:I74" si="16">+F75</f>
        <v>0</v>
      </c>
      <c r="G74" s="71">
        <f t="shared" si="16"/>
        <v>0</v>
      </c>
      <c r="H74" s="71">
        <f t="shared" si="16"/>
        <v>0</v>
      </c>
      <c r="I74" s="72">
        <f t="shared" si="16"/>
        <v>0</v>
      </c>
    </row>
    <row r="75" spans="1:9" s="78" customFormat="1" x14ac:dyDescent="0.25">
      <c r="A75" s="138">
        <v>53082</v>
      </c>
      <c r="B75" s="139"/>
      <c r="C75" s="144"/>
      <c r="D75" s="69" t="s">
        <v>86</v>
      </c>
      <c r="E75" s="80">
        <v>1904</v>
      </c>
      <c r="F75" s="80">
        <v>0</v>
      </c>
      <c r="G75" s="80">
        <v>0</v>
      </c>
      <c r="H75" s="80">
        <v>0</v>
      </c>
      <c r="I75" s="81">
        <v>0</v>
      </c>
    </row>
    <row r="76" spans="1:9" x14ac:dyDescent="0.25">
      <c r="A76" s="43">
        <v>3</v>
      </c>
      <c r="B76" s="50"/>
      <c r="C76" s="50"/>
      <c r="D76" s="44" t="s">
        <v>22</v>
      </c>
      <c r="E76" s="45">
        <v>1904</v>
      </c>
      <c r="F76" s="45">
        <v>0</v>
      </c>
      <c r="G76" s="45">
        <v>0</v>
      </c>
      <c r="H76" s="45">
        <v>0</v>
      </c>
      <c r="I76" s="53">
        <v>0</v>
      </c>
    </row>
    <row r="77" spans="1:9" x14ac:dyDescent="0.25">
      <c r="A77" s="43">
        <v>32</v>
      </c>
      <c r="B77" s="50"/>
      <c r="C77" s="50"/>
      <c r="D77" s="44" t="s">
        <v>40</v>
      </c>
      <c r="E77" s="48">
        <v>1904</v>
      </c>
      <c r="F77" s="48">
        <v>0</v>
      </c>
      <c r="G77" s="48">
        <v>0</v>
      </c>
      <c r="H77" s="48">
        <v>0</v>
      </c>
      <c r="I77" s="54">
        <v>0</v>
      </c>
    </row>
    <row r="78" spans="1:9" s="78" customFormat="1" x14ac:dyDescent="0.25">
      <c r="A78" s="138" t="s">
        <v>102</v>
      </c>
      <c r="B78" s="139"/>
      <c r="C78" s="144"/>
      <c r="D78" s="70" t="s">
        <v>103</v>
      </c>
      <c r="E78" s="71">
        <f>+E79</f>
        <v>0</v>
      </c>
      <c r="F78" s="71">
        <f t="shared" ref="F78:I78" si="17">+F79</f>
        <v>10000</v>
      </c>
      <c r="G78" s="71">
        <f t="shared" si="17"/>
        <v>9998.2799999999988</v>
      </c>
      <c r="H78" s="71">
        <f t="shared" si="17"/>
        <v>9998.2799999999988</v>
      </c>
      <c r="I78" s="72">
        <f t="shared" si="17"/>
        <v>9998.2799999999988</v>
      </c>
    </row>
    <row r="79" spans="1:9" s="78" customFormat="1" x14ac:dyDescent="0.25">
      <c r="A79" s="138">
        <v>11001</v>
      </c>
      <c r="B79" s="139"/>
      <c r="C79" s="144"/>
      <c r="D79" s="69" t="s">
        <v>90</v>
      </c>
      <c r="E79" s="80">
        <v>0</v>
      </c>
      <c r="F79" s="80">
        <v>10000</v>
      </c>
      <c r="G79" s="80">
        <v>9998.2799999999988</v>
      </c>
      <c r="H79" s="80">
        <v>9998.2799999999988</v>
      </c>
      <c r="I79" s="81">
        <v>9998.2799999999988</v>
      </c>
    </row>
    <row r="80" spans="1:9" x14ac:dyDescent="0.25">
      <c r="A80" s="43">
        <v>3</v>
      </c>
      <c r="B80" s="50"/>
      <c r="C80" s="50"/>
      <c r="D80" s="44" t="s">
        <v>22</v>
      </c>
      <c r="E80" s="45">
        <v>0</v>
      </c>
      <c r="F80" s="45">
        <v>10000</v>
      </c>
      <c r="G80" s="45">
        <v>9998.2799999999988</v>
      </c>
      <c r="H80" s="45">
        <v>9998.2799999999988</v>
      </c>
      <c r="I80" s="53">
        <v>9998.2799999999988</v>
      </c>
    </row>
    <row r="81" spans="1:9" x14ac:dyDescent="0.25">
      <c r="A81" s="43">
        <v>32</v>
      </c>
      <c r="B81" s="50"/>
      <c r="C81" s="50"/>
      <c r="D81" s="44" t="s">
        <v>40</v>
      </c>
      <c r="E81" s="48">
        <v>0</v>
      </c>
      <c r="F81" s="48">
        <v>10000</v>
      </c>
      <c r="G81" s="48">
        <v>9998.2799999999988</v>
      </c>
      <c r="H81" s="48">
        <v>9998.2799999999988</v>
      </c>
      <c r="I81" s="54">
        <v>9998.2799999999988</v>
      </c>
    </row>
    <row r="82" spans="1:9" s="78" customFormat="1" x14ac:dyDescent="0.25">
      <c r="A82" s="138">
        <v>2406</v>
      </c>
      <c r="B82" s="139"/>
      <c r="C82" s="144"/>
      <c r="D82" s="73" t="s">
        <v>104</v>
      </c>
      <c r="E82" s="74">
        <f>+E83+E87</f>
        <v>23645.55</v>
      </c>
      <c r="F82" s="74">
        <v>121780</v>
      </c>
      <c r="G82" s="74">
        <v>110003.7</v>
      </c>
      <c r="H82" s="74">
        <v>0</v>
      </c>
      <c r="I82" s="75">
        <v>0</v>
      </c>
    </row>
    <row r="83" spans="1:9" s="78" customFormat="1" x14ac:dyDescent="0.25">
      <c r="A83" s="138" t="s">
        <v>105</v>
      </c>
      <c r="B83" s="139"/>
      <c r="C83" s="144"/>
      <c r="D83" s="70" t="s">
        <v>106</v>
      </c>
      <c r="E83" s="71">
        <v>17395.55</v>
      </c>
      <c r="F83" s="71">
        <v>121780</v>
      </c>
      <c r="G83" s="71">
        <v>110003.7</v>
      </c>
      <c r="H83" s="71">
        <v>0</v>
      </c>
      <c r="I83" s="72">
        <v>0</v>
      </c>
    </row>
    <row r="84" spans="1:9" s="78" customFormat="1" x14ac:dyDescent="0.25">
      <c r="A84" s="138">
        <v>32400</v>
      </c>
      <c r="B84" s="139"/>
      <c r="C84" s="144"/>
      <c r="D84" s="69" t="s">
        <v>81</v>
      </c>
      <c r="E84" s="80">
        <v>17395.55</v>
      </c>
      <c r="F84" s="80">
        <v>121780</v>
      </c>
      <c r="G84" s="80">
        <v>110003.7</v>
      </c>
      <c r="H84" s="80">
        <v>0</v>
      </c>
      <c r="I84" s="81">
        <v>0</v>
      </c>
    </row>
    <row r="85" spans="1:9" x14ac:dyDescent="0.25">
      <c r="A85" s="43">
        <v>4</v>
      </c>
      <c r="B85" s="50"/>
      <c r="C85" s="50"/>
      <c r="D85" s="44" t="s">
        <v>5</v>
      </c>
      <c r="E85" s="45">
        <v>17395.55</v>
      </c>
      <c r="F85" s="45">
        <v>121780</v>
      </c>
      <c r="G85" s="45">
        <v>110003.7</v>
      </c>
      <c r="H85" s="45">
        <v>0</v>
      </c>
      <c r="I85" s="53">
        <v>0</v>
      </c>
    </row>
    <row r="86" spans="1:9" x14ac:dyDescent="0.25">
      <c r="A86" s="43">
        <v>42</v>
      </c>
      <c r="B86" s="50"/>
      <c r="C86" s="50"/>
      <c r="D86" s="44" t="s">
        <v>115</v>
      </c>
      <c r="E86" s="48">
        <v>17395.55</v>
      </c>
      <c r="F86" s="48">
        <v>121780</v>
      </c>
      <c r="G86" s="48">
        <v>110003.7</v>
      </c>
      <c r="H86" s="48">
        <v>0</v>
      </c>
      <c r="I86" s="54">
        <v>0</v>
      </c>
    </row>
    <row r="87" spans="1:9" s="78" customFormat="1" x14ac:dyDescent="0.25">
      <c r="A87" s="138" t="s">
        <v>107</v>
      </c>
      <c r="B87" s="139"/>
      <c r="C87" s="76"/>
      <c r="D87" s="70" t="s">
        <v>108</v>
      </c>
      <c r="E87" s="71">
        <f>+E88+E91</f>
        <v>6250</v>
      </c>
      <c r="F87" s="71">
        <f t="shared" ref="F87:I87" si="18">+F88+F91</f>
        <v>0</v>
      </c>
      <c r="G87" s="71">
        <f t="shared" si="18"/>
        <v>0</v>
      </c>
      <c r="H87" s="71">
        <f t="shared" si="18"/>
        <v>0</v>
      </c>
      <c r="I87" s="72">
        <f t="shared" si="18"/>
        <v>0</v>
      </c>
    </row>
    <row r="88" spans="1:9" s="78" customFormat="1" x14ac:dyDescent="0.25">
      <c r="A88" s="138">
        <v>11001</v>
      </c>
      <c r="B88" s="139"/>
      <c r="C88" s="77"/>
      <c r="D88" s="69" t="s">
        <v>90</v>
      </c>
      <c r="E88" s="80">
        <v>3000</v>
      </c>
      <c r="F88" s="80">
        <v>0</v>
      </c>
      <c r="G88" s="80">
        <v>0</v>
      </c>
      <c r="H88" s="80">
        <v>0</v>
      </c>
      <c r="I88" s="81">
        <v>0</v>
      </c>
    </row>
    <row r="89" spans="1:9" x14ac:dyDescent="0.25">
      <c r="A89" s="43">
        <v>4</v>
      </c>
      <c r="B89" s="50"/>
      <c r="C89" s="50"/>
      <c r="D89" s="44" t="s">
        <v>5</v>
      </c>
      <c r="E89" s="45">
        <v>3000</v>
      </c>
      <c r="F89" s="45">
        <v>0</v>
      </c>
      <c r="G89" s="45">
        <v>0</v>
      </c>
      <c r="H89" s="45">
        <v>0</v>
      </c>
      <c r="I89" s="53">
        <v>0</v>
      </c>
    </row>
    <row r="90" spans="1:9" x14ac:dyDescent="0.25">
      <c r="A90" s="43">
        <v>42</v>
      </c>
      <c r="B90" s="50"/>
      <c r="C90" s="50"/>
      <c r="D90" s="44" t="s">
        <v>115</v>
      </c>
      <c r="E90" s="45">
        <v>3000</v>
      </c>
      <c r="F90" s="45">
        <v>0</v>
      </c>
      <c r="G90" s="45">
        <v>0</v>
      </c>
      <c r="H90" s="45">
        <v>0</v>
      </c>
      <c r="I90" s="53">
        <v>0</v>
      </c>
    </row>
    <row r="91" spans="1:9" s="78" customFormat="1" x14ac:dyDescent="0.25">
      <c r="A91" s="138">
        <v>53082</v>
      </c>
      <c r="B91" s="139"/>
      <c r="C91" s="76"/>
      <c r="D91" s="80" t="s">
        <v>86</v>
      </c>
      <c r="E91" s="80">
        <v>3250</v>
      </c>
      <c r="F91" s="80">
        <v>0</v>
      </c>
      <c r="G91" s="80">
        <v>0</v>
      </c>
      <c r="H91" s="80">
        <v>0</v>
      </c>
      <c r="I91" s="81">
        <v>0</v>
      </c>
    </row>
    <row r="92" spans="1:9" x14ac:dyDescent="0.25">
      <c r="A92" s="43">
        <v>4</v>
      </c>
      <c r="B92" s="50"/>
      <c r="C92" s="50"/>
      <c r="D92" s="44" t="s">
        <v>5</v>
      </c>
      <c r="E92" s="45">
        <v>3250</v>
      </c>
      <c r="F92" s="45">
        <v>0</v>
      </c>
      <c r="G92" s="45">
        <v>0</v>
      </c>
      <c r="H92" s="45">
        <v>0</v>
      </c>
      <c r="I92" s="53">
        <v>0</v>
      </c>
    </row>
    <row r="93" spans="1:9" x14ac:dyDescent="0.25">
      <c r="A93" s="43">
        <v>42</v>
      </c>
      <c r="B93" s="50"/>
      <c r="C93" s="50"/>
      <c r="D93" s="44" t="s">
        <v>115</v>
      </c>
      <c r="E93" s="48">
        <v>3250</v>
      </c>
      <c r="F93" s="48">
        <v>0</v>
      </c>
      <c r="G93" s="48">
        <v>0</v>
      </c>
      <c r="H93" s="48">
        <v>0</v>
      </c>
      <c r="I93" s="54">
        <v>0</v>
      </c>
    </row>
    <row r="94" spans="1:9" s="78" customFormat="1" x14ac:dyDescent="0.25">
      <c r="A94" s="138">
        <v>9108</v>
      </c>
      <c r="B94" s="139"/>
      <c r="C94" s="76"/>
      <c r="D94" s="73" t="s">
        <v>109</v>
      </c>
      <c r="E94" s="74">
        <v>7160.1399999999994</v>
      </c>
      <c r="F94" s="74">
        <v>24361</v>
      </c>
      <c r="G94" s="74">
        <v>0</v>
      </c>
      <c r="H94" s="74">
        <v>0</v>
      </c>
      <c r="I94" s="75">
        <v>0</v>
      </c>
    </row>
    <row r="95" spans="1:9" s="78" customFormat="1" x14ac:dyDescent="0.25">
      <c r="A95" s="138" t="s">
        <v>110</v>
      </c>
      <c r="B95" s="139"/>
      <c r="C95" s="76"/>
      <c r="D95" s="70" t="s">
        <v>111</v>
      </c>
      <c r="E95" s="80">
        <v>7160.1399999999994</v>
      </c>
      <c r="F95" s="80">
        <v>24361</v>
      </c>
      <c r="G95" s="80">
        <v>0</v>
      </c>
      <c r="H95" s="80">
        <v>0</v>
      </c>
      <c r="I95" s="81">
        <v>0</v>
      </c>
    </row>
    <row r="96" spans="1:9" s="78" customFormat="1" x14ac:dyDescent="0.25">
      <c r="A96" s="138">
        <v>11001</v>
      </c>
      <c r="B96" s="139"/>
      <c r="C96" s="76"/>
      <c r="D96" s="69" t="s">
        <v>90</v>
      </c>
      <c r="E96" s="80">
        <v>3408.2</v>
      </c>
      <c r="F96" s="80">
        <v>4833</v>
      </c>
      <c r="G96" s="80">
        <v>0</v>
      </c>
      <c r="H96" s="80">
        <v>0</v>
      </c>
      <c r="I96" s="81">
        <v>0</v>
      </c>
    </row>
    <row r="97" spans="1:9" x14ac:dyDescent="0.25">
      <c r="A97" s="43">
        <v>3</v>
      </c>
      <c r="B97" s="51"/>
      <c r="C97" s="51"/>
      <c r="D97" s="44" t="s">
        <v>22</v>
      </c>
      <c r="E97" s="45">
        <v>3408.2</v>
      </c>
      <c r="F97" s="45">
        <v>4833</v>
      </c>
      <c r="G97" s="45">
        <v>0</v>
      </c>
      <c r="H97" s="45">
        <v>0</v>
      </c>
      <c r="I97" s="53">
        <v>0</v>
      </c>
    </row>
    <row r="98" spans="1:9" x14ac:dyDescent="0.25">
      <c r="A98" s="43">
        <v>31</v>
      </c>
      <c r="B98" s="51"/>
      <c r="C98" s="51"/>
      <c r="D98" s="44" t="s">
        <v>25</v>
      </c>
      <c r="E98" s="45">
        <v>3258.02</v>
      </c>
      <c r="F98" s="45">
        <v>4678</v>
      </c>
      <c r="G98" s="45">
        <v>0</v>
      </c>
      <c r="H98" s="45">
        <v>0</v>
      </c>
      <c r="I98" s="53">
        <v>0</v>
      </c>
    </row>
    <row r="99" spans="1:9" x14ac:dyDescent="0.25">
      <c r="A99" s="43">
        <v>32</v>
      </c>
      <c r="B99" s="51"/>
      <c r="C99" s="51"/>
      <c r="D99" s="47" t="s">
        <v>40</v>
      </c>
      <c r="E99" s="45">
        <v>150.18</v>
      </c>
      <c r="F99" s="45">
        <v>155</v>
      </c>
      <c r="G99" s="45">
        <v>0</v>
      </c>
      <c r="H99" s="45">
        <v>0</v>
      </c>
      <c r="I99" s="53">
        <v>0</v>
      </c>
    </row>
    <row r="100" spans="1:9" s="78" customFormat="1" x14ac:dyDescent="0.25">
      <c r="A100" s="138">
        <v>51100</v>
      </c>
      <c r="B100" s="139"/>
      <c r="C100" s="76"/>
      <c r="D100" s="69" t="s">
        <v>112</v>
      </c>
      <c r="E100" s="80">
        <v>3751.94</v>
      </c>
      <c r="F100" s="80">
        <v>19528</v>
      </c>
      <c r="G100" s="80">
        <v>0</v>
      </c>
      <c r="H100" s="80">
        <v>0</v>
      </c>
      <c r="I100" s="81">
        <v>0</v>
      </c>
    </row>
    <row r="101" spans="1:9" x14ac:dyDescent="0.25">
      <c r="A101" s="43">
        <v>3</v>
      </c>
      <c r="B101" s="51"/>
      <c r="C101" s="51"/>
      <c r="D101" s="44" t="s">
        <v>22</v>
      </c>
      <c r="E101" s="45">
        <v>3751.94</v>
      </c>
      <c r="F101" s="45">
        <v>19528</v>
      </c>
      <c r="G101" s="45">
        <v>0</v>
      </c>
      <c r="H101" s="45">
        <v>0</v>
      </c>
      <c r="I101" s="53">
        <v>0</v>
      </c>
    </row>
    <row r="102" spans="1:9" ht="15.6" customHeight="1" x14ac:dyDescent="0.25">
      <c r="A102" s="43">
        <v>31</v>
      </c>
      <c r="B102" s="51"/>
      <c r="C102" s="51"/>
      <c r="D102" s="44" t="s">
        <v>25</v>
      </c>
      <c r="E102" s="45">
        <v>3586.62</v>
      </c>
      <c r="F102" s="45">
        <v>18901</v>
      </c>
      <c r="G102" s="45">
        <v>0</v>
      </c>
      <c r="H102" s="45">
        <v>0</v>
      </c>
      <c r="I102" s="53">
        <v>0</v>
      </c>
    </row>
    <row r="103" spans="1:9" x14ac:dyDescent="0.25">
      <c r="A103" s="46">
        <v>32</v>
      </c>
      <c r="B103" s="52"/>
      <c r="C103" s="52"/>
      <c r="D103" s="47" t="s">
        <v>40</v>
      </c>
      <c r="E103" s="48">
        <v>165.32</v>
      </c>
      <c r="F103" s="48">
        <v>627</v>
      </c>
      <c r="G103" s="48">
        <v>0</v>
      </c>
      <c r="H103" s="48">
        <v>0</v>
      </c>
      <c r="I103" s="54">
        <v>0</v>
      </c>
    </row>
    <row r="104" spans="1:9" x14ac:dyDescent="0.25">
      <c r="E104" s="79"/>
      <c r="F104" s="79"/>
      <c r="G104" s="79"/>
      <c r="H104" s="49"/>
      <c r="I104" s="49"/>
    </row>
    <row r="105" spans="1:9" x14ac:dyDescent="0.25">
      <c r="E105" s="79"/>
      <c r="F105" s="79"/>
      <c r="G105" s="79"/>
      <c r="H105" s="79"/>
      <c r="I105" s="79"/>
    </row>
    <row r="106" spans="1:9" x14ac:dyDescent="0.25">
      <c r="E106" s="79"/>
      <c r="F106" s="79"/>
      <c r="G106" s="79"/>
      <c r="H106" s="79"/>
      <c r="I106" s="79"/>
    </row>
    <row r="107" spans="1:9" x14ac:dyDescent="0.25">
      <c r="E107" s="79"/>
      <c r="F107" s="79"/>
      <c r="G107" s="79"/>
      <c r="H107" s="79"/>
      <c r="I107" s="79"/>
    </row>
    <row r="108" spans="1:9" x14ac:dyDescent="0.25">
      <c r="E108" s="79"/>
      <c r="F108" s="79"/>
      <c r="G108" s="79"/>
      <c r="H108" s="79"/>
      <c r="I108" s="79"/>
    </row>
    <row r="109" spans="1:9" x14ac:dyDescent="0.25">
      <c r="E109" s="79"/>
      <c r="F109" s="79"/>
      <c r="G109" s="79"/>
      <c r="H109" s="79"/>
      <c r="I109" s="79"/>
    </row>
    <row r="110" spans="1:9" x14ac:dyDescent="0.25">
      <c r="E110" s="79"/>
      <c r="F110" s="79"/>
      <c r="G110" s="79"/>
      <c r="H110" s="79"/>
      <c r="I110" s="79"/>
    </row>
    <row r="111" spans="1:9" x14ac:dyDescent="0.25">
      <c r="E111" s="79"/>
      <c r="F111" s="79"/>
      <c r="G111" s="79"/>
      <c r="H111" s="79"/>
      <c r="I111" s="79"/>
    </row>
    <row r="112" spans="1:9" x14ac:dyDescent="0.25">
      <c r="E112" s="79"/>
      <c r="F112" s="79"/>
      <c r="G112" s="79"/>
      <c r="H112" s="79"/>
      <c r="I112" s="79"/>
    </row>
    <row r="113" spans="5:9" x14ac:dyDescent="0.25">
      <c r="E113" s="79"/>
      <c r="F113" s="79"/>
      <c r="G113" s="79"/>
      <c r="H113" s="79"/>
      <c r="I113" s="79"/>
    </row>
    <row r="114" spans="5:9" x14ac:dyDescent="0.25">
      <c r="E114" s="79"/>
      <c r="F114" s="79"/>
      <c r="G114" s="79"/>
      <c r="H114" s="79"/>
      <c r="I114" s="79"/>
    </row>
    <row r="115" spans="5:9" x14ac:dyDescent="0.25">
      <c r="E115" s="79"/>
      <c r="F115" s="79"/>
      <c r="G115" s="79"/>
      <c r="H115" s="79"/>
      <c r="I115" s="79"/>
    </row>
    <row r="116" spans="5:9" x14ac:dyDescent="0.25">
      <c r="E116" s="79"/>
      <c r="F116" s="79"/>
      <c r="G116" s="79"/>
      <c r="H116" s="79"/>
      <c r="I116" s="79"/>
    </row>
    <row r="117" spans="5:9" x14ac:dyDescent="0.25">
      <c r="E117" s="79"/>
      <c r="F117" s="79"/>
      <c r="G117" s="79"/>
      <c r="H117" s="79"/>
      <c r="I117" s="79"/>
    </row>
  </sheetData>
  <mergeCells count="53">
    <mergeCell ref="A91:B91"/>
    <mergeCell ref="A94:B94"/>
    <mergeCell ref="A95:B95"/>
    <mergeCell ref="A96:B96"/>
    <mergeCell ref="A100:B100"/>
    <mergeCell ref="A82:C82"/>
    <mergeCell ref="A83:C83"/>
    <mergeCell ref="A84:C84"/>
    <mergeCell ref="A87:B87"/>
    <mergeCell ref="A88:B88"/>
    <mergeCell ref="A74:C74"/>
    <mergeCell ref="A75:C75"/>
    <mergeCell ref="A78:C78"/>
    <mergeCell ref="A79:C79"/>
    <mergeCell ref="A58:C58"/>
    <mergeCell ref="A61:C61"/>
    <mergeCell ref="A62:C62"/>
    <mergeCell ref="A67:C67"/>
    <mergeCell ref="A48:C48"/>
    <mergeCell ref="A49:C49"/>
    <mergeCell ref="A52:C52"/>
    <mergeCell ref="A53:C53"/>
    <mergeCell ref="A57:C57"/>
    <mergeCell ref="A41:C41"/>
    <mergeCell ref="A42:C42"/>
    <mergeCell ref="A47:C47"/>
    <mergeCell ref="A28:C28"/>
    <mergeCell ref="A31:C31"/>
    <mergeCell ref="A32:C32"/>
    <mergeCell ref="A35:C35"/>
    <mergeCell ref="A38:C38"/>
    <mergeCell ref="A20:C20"/>
    <mergeCell ref="A21:C21"/>
    <mergeCell ref="A22:C22"/>
    <mergeCell ref="A23:C23"/>
    <mergeCell ref="A27:C27"/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G16" sqref="G16"/>
    </sheetView>
  </sheetViews>
  <sheetFormatPr defaultRowHeight="15" x14ac:dyDescent="0.25"/>
  <cols>
    <col min="1" max="1" width="37.7109375" customWidth="1"/>
    <col min="2" max="2" width="14" bestFit="1" customWidth="1"/>
    <col min="3" max="3" width="12.28515625" customWidth="1"/>
    <col min="4" max="4" width="12.42578125" hidden="1" customWidth="1"/>
    <col min="5" max="6" width="12.42578125" customWidth="1"/>
    <col min="7" max="7" width="10.7109375" customWidth="1"/>
    <col min="8" max="8" width="9.42578125" bestFit="1" customWidth="1"/>
  </cols>
  <sheetData>
    <row r="1" spans="1:8" ht="42" customHeight="1" x14ac:dyDescent="0.3">
      <c r="A1" s="114" t="str">
        <f>+SAŽETAK!A1</f>
        <v>FINANCIJSKI PLAN INDUSTRIJSKO-OBRTNIČKE ŠKOLE PULA
ZA 2024. I PROJEKCIJA ZA 2025. I 2026. GODINU</v>
      </c>
      <c r="B1" s="114"/>
      <c r="C1" s="114"/>
      <c r="D1" s="114"/>
      <c r="E1" s="114"/>
      <c r="F1" s="114"/>
      <c r="G1" s="114"/>
      <c r="H1" s="114"/>
    </row>
    <row r="2" spans="1:8" ht="18" customHeight="1" x14ac:dyDescent="0.3">
      <c r="A2" s="4"/>
      <c r="B2" s="4"/>
      <c r="C2" s="4"/>
      <c r="D2" s="4"/>
      <c r="E2" s="28"/>
      <c r="F2" s="28"/>
      <c r="G2" s="4"/>
      <c r="H2" s="4"/>
    </row>
    <row r="3" spans="1:8" ht="15.75" x14ac:dyDescent="0.25">
      <c r="A3" s="114" t="s">
        <v>37</v>
      </c>
      <c r="B3" s="114"/>
      <c r="C3" s="114"/>
      <c r="D3" s="114"/>
      <c r="E3" s="114"/>
      <c r="F3" s="114"/>
      <c r="G3" s="115"/>
      <c r="H3" s="115"/>
    </row>
    <row r="4" spans="1:8" ht="17.45" x14ac:dyDescent="0.3">
      <c r="A4" s="4"/>
      <c r="B4" s="4"/>
      <c r="C4" s="4"/>
      <c r="D4" s="4"/>
      <c r="E4" s="28"/>
      <c r="F4" s="28"/>
      <c r="G4" s="5"/>
      <c r="H4" s="5"/>
    </row>
    <row r="5" spans="1:8" ht="18" customHeight="1" x14ac:dyDescent="0.25">
      <c r="A5" s="114" t="s">
        <v>15</v>
      </c>
      <c r="B5" s="116"/>
      <c r="C5" s="116"/>
      <c r="D5" s="116"/>
      <c r="E5" s="116"/>
      <c r="F5" s="116"/>
      <c r="G5" s="116"/>
      <c r="H5" s="116"/>
    </row>
    <row r="6" spans="1:8" ht="17.45" x14ac:dyDescent="0.3">
      <c r="A6" s="4"/>
      <c r="B6" s="4"/>
      <c r="C6" s="4"/>
      <c r="D6" s="4"/>
      <c r="E6" s="28"/>
      <c r="F6" s="28"/>
      <c r="G6" s="5"/>
      <c r="H6" s="5"/>
    </row>
    <row r="7" spans="1:8" ht="15.6" x14ac:dyDescent="0.3">
      <c r="A7" s="114" t="s">
        <v>27</v>
      </c>
      <c r="B7" s="135"/>
      <c r="C7" s="135"/>
      <c r="D7" s="135"/>
      <c r="E7" s="135"/>
      <c r="F7" s="135"/>
      <c r="G7" s="135"/>
      <c r="H7" s="135"/>
    </row>
    <row r="8" spans="1:8" ht="17.45" x14ac:dyDescent="0.3">
      <c r="A8" s="4"/>
      <c r="B8" s="4"/>
      <c r="C8" s="4"/>
      <c r="D8" s="4"/>
      <c r="E8" s="28"/>
      <c r="F8" s="28"/>
      <c r="G8" s="5"/>
      <c r="H8" s="5"/>
    </row>
    <row r="9" spans="1:8" ht="25.5" x14ac:dyDescent="0.25">
      <c r="A9" s="24" t="s">
        <v>28</v>
      </c>
      <c r="B9" s="23" t="s">
        <v>119</v>
      </c>
      <c r="C9" s="24" t="s">
        <v>57</v>
      </c>
      <c r="D9" s="24" t="s">
        <v>118</v>
      </c>
      <c r="E9" s="24" t="s">
        <v>132</v>
      </c>
      <c r="F9" s="24" t="s">
        <v>59</v>
      </c>
      <c r="G9" s="24" t="s">
        <v>133</v>
      </c>
    </row>
    <row r="10" spans="1:8" ht="15.75" customHeight="1" x14ac:dyDescent="0.3">
      <c r="A10" s="11" t="s">
        <v>29</v>
      </c>
      <c r="B10" s="8">
        <v>761473</v>
      </c>
      <c r="C10" s="8">
        <v>1023093</v>
      </c>
      <c r="D10" s="8">
        <f>+E10-C10</f>
        <v>-31632.520000000019</v>
      </c>
      <c r="E10" s="8">
        <f t="shared" ref="E10:G11" si="0">+E11</f>
        <v>991460.48</v>
      </c>
      <c r="F10" s="8">
        <f t="shared" si="0"/>
        <v>940864.08</v>
      </c>
      <c r="G10" s="8">
        <f t="shared" si="0"/>
        <v>940864</v>
      </c>
    </row>
    <row r="11" spans="1:8" ht="15.75" customHeight="1" x14ac:dyDescent="0.3">
      <c r="A11" s="11" t="s">
        <v>68</v>
      </c>
      <c r="B11" s="8">
        <f>+B10</f>
        <v>761473</v>
      </c>
      <c r="C11" s="8">
        <v>1023093</v>
      </c>
      <c r="D11" s="8">
        <f t="shared" ref="D11:D12" si="1">+E11-C11</f>
        <v>-31632.520000000019</v>
      </c>
      <c r="E11" s="8">
        <f t="shared" si="0"/>
        <v>991460.48</v>
      </c>
      <c r="F11" s="8">
        <f t="shared" si="0"/>
        <v>940864.08</v>
      </c>
      <c r="G11" s="8">
        <f t="shared" si="0"/>
        <v>940864</v>
      </c>
    </row>
    <row r="12" spans="1:8" x14ac:dyDescent="0.25">
      <c r="A12" s="18" t="s">
        <v>69</v>
      </c>
      <c r="B12" s="8">
        <f>+B11</f>
        <v>761473</v>
      </c>
      <c r="C12" s="8">
        <v>1023093</v>
      </c>
      <c r="D12" s="8">
        <f t="shared" si="1"/>
        <v>-31632.520000000019</v>
      </c>
      <c r="E12" s="8">
        <v>991460.48</v>
      </c>
      <c r="F12" s="9">
        <v>940864.08</v>
      </c>
      <c r="G12" s="9">
        <v>940864</v>
      </c>
    </row>
    <row r="13" spans="1:8" ht="14.45" hidden="1" x14ac:dyDescent="0.3">
      <c r="A13" s="17" t="s">
        <v>30</v>
      </c>
      <c r="B13" s="8"/>
      <c r="C13" s="9"/>
      <c r="D13" s="8">
        <v>929222</v>
      </c>
      <c r="E13" s="8"/>
      <c r="F13" s="8"/>
      <c r="G13" s="9"/>
      <c r="H13" s="9"/>
    </row>
    <row r="14" spans="1:8" ht="14.45" hidden="1" x14ac:dyDescent="0.3">
      <c r="A14" s="11" t="s">
        <v>31</v>
      </c>
      <c r="B14" s="8"/>
      <c r="C14" s="9"/>
      <c r="D14" s="8">
        <v>929222</v>
      </c>
      <c r="E14" s="8"/>
      <c r="F14" s="8"/>
      <c r="G14" s="9"/>
      <c r="H14" s="10"/>
    </row>
    <row r="15" spans="1:8" ht="26.45" hidden="1" x14ac:dyDescent="0.3">
      <c r="A15" s="19" t="s">
        <v>32</v>
      </c>
      <c r="B15" s="8"/>
      <c r="C15" s="9"/>
      <c r="D15" s="8">
        <v>929222</v>
      </c>
      <c r="E15" s="8"/>
      <c r="F15" s="8"/>
      <c r="G15" s="9"/>
      <c r="H15" s="10"/>
    </row>
  </sheetData>
  <mergeCells count="4">
    <mergeCell ref="A1:H1"/>
    <mergeCell ref="A3:H3"/>
    <mergeCell ref="A5:H5"/>
    <mergeCell ref="A7:H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E7" sqref="E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6" width="14.5703125" customWidth="1"/>
    <col min="7" max="7" width="14.5703125" hidden="1" customWidth="1"/>
    <col min="8" max="11" width="14.5703125" customWidth="1"/>
  </cols>
  <sheetData>
    <row r="1" spans="1:11" ht="42" customHeight="1" x14ac:dyDescent="0.3">
      <c r="A1" s="114" t="str">
        <f>+SAŽETAK!A1</f>
        <v>FINANCIJSKI PLAN INDUSTRIJSKO-OBRTNIČKE ŠKOLE PULA
ZA 2024. I PROJEKCIJA ZA 2025. I 2026. GODINU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18" customHeight="1" x14ac:dyDescent="0.3">
      <c r="A2" s="4"/>
      <c r="B2" s="4"/>
      <c r="C2" s="4"/>
      <c r="D2" s="4"/>
      <c r="E2" s="4"/>
      <c r="F2" s="4"/>
      <c r="G2" s="4"/>
      <c r="H2" s="28"/>
      <c r="I2" s="28"/>
      <c r="J2" s="4"/>
      <c r="K2" s="4"/>
    </row>
    <row r="3" spans="1:11" ht="15.75" x14ac:dyDescent="0.25">
      <c r="A3" s="114" t="s">
        <v>37</v>
      </c>
      <c r="B3" s="114"/>
      <c r="C3" s="114"/>
      <c r="D3" s="114"/>
      <c r="E3" s="114"/>
      <c r="F3" s="114"/>
      <c r="G3" s="114"/>
      <c r="H3" s="114"/>
      <c r="I3" s="114"/>
      <c r="J3" s="115"/>
      <c r="K3" s="115"/>
    </row>
    <row r="4" spans="1:11" ht="17.45" x14ac:dyDescent="0.3">
      <c r="A4" s="4"/>
      <c r="B4" s="4"/>
      <c r="C4" s="4"/>
      <c r="D4" s="4"/>
      <c r="E4" s="4"/>
      <c r="F4" s="4"/>
      <c r="G4" s="4"/>
      <c r="H4" s="28"/>
      <c r="I4" s="28"/>
      <c r="J4" s="5"/>
      <c r="K4" s="5"/>
    </row>
    <row r="5" spans="1:11" ht="18" customHeight="1" x14ac:dyDescent="0.25">
      <c r="A5" s="114" t="s">
        <v>33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1" ht="17.45" x14ac:dyDescent="0.3">
      <c r="A6" s="4"/>
      <c r="B6" s="4"/>
      <c r="C6" s="4"/>
      <c r="D6" s="4"/>
      <c r="E6" s="4"/>
      <c r="F6" s="4"/>
      <c r="G6" s="4"/>
      <c r="H6" s="28"/>
      <c r="I6" s="28"/>
      <c r="J6" s="5"/>
      <c r="K6" s="5"/>
    </row>
    <row r="7" spans="1:11" ht="25.5" x14ac:dyDescent="0.25">
      <c r="A7" s="24" t="s">
        <v>16</v>
      </c>
      <c r="B7" s="23" t="s">
        <v>17</v>
      </c>
      <c r="C7" s="23" t="s">
        <v>18</v>
      </c>
      <c r="D7" s="23" t="s">
        <v>67</v>
      </c>
      <c r="E7" s="23" t="s">
        <v>119</v>
      </c>
      <c r="F7" s="24" t="s">
        <v>57</v>
      </c>
      <c r="G7" s="24" t="s">
        <v>118</v>
      </c>
      <c r="H7" s="24" t="s">
        <v>132</v>
      </c>
      <c r="I7" s="24" t="s">
        <v>59</v>
      </c>
      <c r="J7" s="24" t="s">
        <v>133</v>
      </c>
    </row>
    <row r="8" spans="1:11" ht="25.5" x14ac:dyDescent="0.25">
      <c r="A8" s="11">
        <v>8</v>
      </c>
      <c r="B8" s="11"/>
      <c r="C8" s="11"/>
      <c r="D8" s="11" t="s">
        <v>34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1" x14ac:dyDescent="0.25">
      <c r="A9" s="11"/>
      <c r="B9" s="16">
        <v>84</v>
      </c>
      <c r="C9" s="16"/>
      <c r="D9" s="16" t="s">
        <v>41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1" ht="25.5" x14ac:dyDescent="0.25">
      <c r="A10" s="12"/>
      <c r="B10" s="12"/>
      <c r="C10" s="13">
        <v>81</v>
      </c>
      <c r="D10" s="18" t="s">
        <v>42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</row>
    <row r="11" spans="1:11" ht="26.45" x14ac:dyDescent="0.3">
      <c r="A11" s="14">
        <v>5</v>
      </c>
      <c r="B11" s="15"/>
      <c r="C11" s="15"/>
      <c r="D11" s="29" t="s">
        <v>35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1" ht="26.45" x14ac:dyDescent="0.3">
      <c r="A12" s="16"/>
      <c r="B12" s="16">
        <v>54</v>
      </c>
      <c r="C12" s="16"/>
      <c r="D12" s="30" t="s">
        <v>43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5">
      <c r="A13" s="16"/>
      <c r="B13" s="16"/>
      <c r="C13" s="13">
        <v>11</v>
      </c>
      <c r="D13" s="13" t="s">
        <v>20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</row>
    <row r="14" spans="1:11" ht="14.45" x14ac:dyDescent="0.3">
      <c r="A14" s="16"/>
      <c r="B14" s="16"/>
      <c r="C14" s="13">
        <v>31</v>
      </c>
      <c r="D14" s="13" t="s">
        <v>44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</sheetData>
  <mergeCells count="3">
    <mergeCell ref="A1:K1"/>
    <mergeCell ref="A3:K3"/>
    <mergeCell ref="A5:K5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 Račun prihoda i rashoda-KN</vt:lpstr>
      <vt:lpstr>POSEBNI DIO</vt:lpstr>
      <vt:lpstr>POSEBNI DIO-KN</vt:lpstr>
      <vt:lpstr>Rashodi-funkc.klas.</vt:lpstr>
      <vt:lpstr>Račun financ.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User</cp:lastModifiedBy>
  <cp:lastPrinted>2023-12-14T12:25:07Z</cp:lastPrinted>
  <dcterms:created xsi:type="dcterms:W3CDTF">2022-08-12T12:51:27Z</dcterms:created>
  <dcterms:modified xsi:type="dcterms:W3CDTF">2023-12-22T08:29:19Z</dcterms:modified>
</cp:coreProperties>
</file>