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0" windowHeight="12240" tabRatio="675" activeTab="7"/>
  </bookViews>
  <sheets>
    <sheet name="SAŽETAK-EUR" sheetId="8" r:id="rId1"/>
    <sheet name="SAŽETAK-KN" sheetId="1" r:id="rId2"/>
    <sheet name=" Račun prihoda i rashoda-EUR" sheetId="10" r:id="rId3"/>
    <sheet name=" Račun prihoda i rashoda-KN" sheetId="3" state="hidden" r:id="rId4"/>
    <sheet name="POSEBNI DIO-EUR" sheetId="9" r:id="rId5"/>
    <sheet name="POSEBNI DIO-KN" sheetId="7" state="hidden" r:id="rId6"/>
    <sheet name="Rashodi-funkc.klas." sheetId="5" r:id="rId7"/>
    <sheet name="Račun financ." sheetId="6" r:id="rId8"/>
    <sheet name="List2" sheetId="2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0" l="1"/>
  <c r="H16" i="10"/>
  <c r="G16" i="10"/>
  <c r="F16" i="10"/>
  <c r="E16" i="10"/>
  <c r="I12" i="10"/>
  <c r="H12" i="10"/>
  <c r="G12" i="10"/>
  <c r="F12" i="10"/>
  <c r="E12" i="10"/>
  <c r="F38" i="10"/>
  <c r="E38" i="10"/>
  <c r="G38" i="10"/>
  <c r="G39" i="10"/>
  <c r="E34" i="10"/>
  <c r="F34" i="10"/>
  <c r="F31" i="10"/>
  <c r="E29" i="10"/>
  <c r="E30" i="10"/>
  <c r="G31" i="10"/>
  <c r="E31" i="10"/>
  <c r="H29" i="10"/>
  <c r="I29" i="10"/>
  <c r="G29" i="10"/>
  <c r="F29" i="10"/>
  <c r="E26" i="10"/>
  <c r="E27" i="10"/>
  <c r="H9" i="1"/>
  <c r="H13" i="1"/>
  <c r="H9" i="8"/>
  <c r="H13" i="8"/>
  <c r="G15" i="10"/>
  <c r="G28" i="10"/>
  <c r="G36" i="10"/>
  <c r="J20" i="9"/>
  <c r="J82" i="9"/>
  <c r="J94" i="9"/>
  <c r="J96" i="9"/>
  <c r="J95" i="9"/>
  <c r="G94" i="9"/>
  <c r="H94" i="9"/>
  <c r="I94" i="9"/>
  <c r="K94" i="9"/>
  <c r="L94" i="9" s="1"/>
  <c r="E94" i="9"/>
  <c r="F95" i="9"/>
  <c r="N97" i="9"/>
  <c r="L97" i="9"/>
  <c r="H97" i="9"/>
  <c r="N96" i="9"/>
  <c r="L96" i="9"/>
  <c r="H96" i="9"/>
  <c r="N95" i="9"/>
  <c r="L95" i="9"/>
  <c r="H95" i="9"/>
  <c r="N94" i="9"/>
  <c r="M94" i="9"/>
  <c r="F94" i="9"/>
  <c r="H26" i="8" l="1"/>
  <c r="G26" i="8"/>
  <c r="G27" i="8"/>
  <c r="H27" i="8"/>
  <c r="F27" i="8"/>
  <c r="F26" i="8"/>
  <c r="J13" i="8"/>
  <c r="J12" i="8"/>
  <c r="J11" i="8" s="1"/>
  <c r="J9" i="8"/>
  <c r="J8" i="8" s="1"/>
  <c r="J14" i="8" s="1"/>
  <c r="I13" i="8"/>
  <c r="I12" i="8"/>
  <c r="I9" i="8"/>
  <c r="H12" i="8"/>
  <c r="G13" i="8"/>
  <c r="G12" i="8"/>
  <c r="G10" i="8"/>
  <c r="G9" i="8"/>
  <c r="F13" i="8"/>
  <c r="F12" i="8"/>
  <c r="F9" i="8"/>
  <c r="H11" i="8"/>
  <c r="I11" i="8"/>
  <c r="G11" i="8"/>
  <c r="F11" i="8"/>
  <c r="I8" i="8"/>
  <c r="H8" i="8"/>
  <c r="G8" i="8"/>
  <c r="F8" i="8"/>
  <c r="J11" i="1"/>
  <c r="J8" i="1"/>
  <c r="J14" i="1" s="1"/>
  <c r="H11" i="1"/>
  <c r="G11" i="1"/>
  <c r="I11" i="1"/>
  <c r="G8" i="1"/>
  <c r="H8" i="1"/>
  <c r="I8" i="1"/>
  <c r="F14" i="1"/>
  <c r="F11" i="1"/>
  <c r="F8" i="1"/>
  <c r="I14" i="8" l="1"/>
  <c r="H14" i="8"/>
  <c r="G14" i="8"/>
  <c r="F14" i="8"/>
  <c r="I14" i="1"/>
  <c r="H14" i="1"/>
  <c r="G14" i="1"/>
  <c r="F34" i="3"/>
  <c r="G34" i="3"/>
  <c r="H34" i="3"/>
  <c r="I34" i="3"/>
  <c r="E34" i="3"/>
  <c r="F20" i="3"/>
  <c r="G20" i="3"/>
  <c r="H20" i="3"/>
  <c r="I20" i="3"/>
  <c r="E20" i="3"/>
  <c r="I32" i="3"/>
  <c r="I29" i="3"/>
  <c r="I25" i="3"/>
  <c r="I27" i="3"/>
  <c r="H32" i="3"/>
  <c r="H29" i="3"/>
  <c r="H27" i="3"/>
  <c r="H25" i="3"/>
  <c r="G32" i="3"/>
  <c r="G29" i="3"/>
  <c r="G27" i="3"/>
  <c r="G25" i="3"/>
  <c r="F32" i="3"/>
  <c r="F29" i="3"/>
  <c r="F27" i="3"/>
  <c r="F25" i="3"/>
  <c r="E32" i="3"/>
  <c r="E29" i="3"/>
  <c r="E27" i="3"/>
  <c r="E25" i="3"/>
  <c r="F18" i="3"/>
  <c r="I15" i="3"/>
  <c r="H15" i="3"/>
  <c r="G15" i="3"/>
  <c r="F15" i="3"/>
  <c r="E15" i="3"/>
  <c r="I13" i="3"/>
  <c r="H13" i="3"/>
  <c r="G13" i="3"/>
  <c r="F13" i="3"/>
  <c r="E13" i="3"/>
  <c r="I11" i="3"/>
  <c r="H11" i="3"/>
  <c r="G11" i="3"/>
  <c r="F11" i="3"/>
  <c r="E11" i="3"/>
  <c r="I36" i="10"/>
  <c r="H36" i="10"/>
  <c r="G35" i="10"/>
  <c r="F36" i="10"/>
  <c r="F35" i="10" s="1"/>
  <c r="E36" i="10"/>
  <c r="I35" i="10"/>
  <c r="H35" i="10"/>
  <c r="E35" i="10"/>
  <c r="I32" i="10"/>
  <c r="H32" i="10"/>
  <c r="G32" i="10"/>
  <c r="F32" i="10"/>
  <c r="E32" i="10"/>
  <c r="I28" i="10"/>
  <c r="H28" i="10"/>
  <c r="F28" i="10"/>
  <c r="E28" i="10"/>
  <c r="I25" i="10"/>
  <c r="H25" i="10"/>
  <c r="G25" i="10"/>
  <c r="F25" i="10"/>
  <c r="E25" i="10"/>
  <c r="E24" i="10" s="1"/>
  <c r="H24" i="10"/>
  <c r="F18" i="10"/>
  <c r="I17" i="10"/>
  <c r="H17" i="10"/>
  <c r="G17" i="10"/>
  <c r="F17" i="10"/>
  <c r="E17" i="10"/>
  <c r="I15" i="10"/>
  <c r="H15" i="10"/>
  <c r="F15" i="10"/>
  <c r="E15" i="10"/>
  <c r="I13" i="10"/>
  <c r="H13" i="10"/>
  <c r="G13" i="10"/>
  <c r="F13" i="10"/>
  <c r="E13" i="10"/>
  <c r="I11" i="10"/>
  <c r="H11" i="10"/>
  <c r="G11" i="10"/>
  <c r="G10" i="10" s="1"/>
  <c r="F11" i="10"/>
  <c r="F10" i="10" s="1"/>
  <c r="E11" i="10"/>
  <c r="F21" i="9"/>
  <c r="F20" i="9"/>
  <c r="F22" i="9"/>
  <c r="N107" i="9"/>
  <c r="N106" i="9"/>
  <c r="N105" i="9"/>
  <c r="N104" i="9"/>
  <c r="N103" i="9"/>
  <c r="N102" i="9"/>
  <c r="N101" i="9"/>
  <c r="N100" i="9"/>
  <c r="N99" i="9"/>
  <c r="N98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L107" i="9"/>
  <c r="L106" i="9"/>
  <c r="L105" i="9"/>
  <c r="L104" i="9"/>
  <c r="L103" i="9"/>
  <c r="L102" i="9"/>
  <c r="L101" i="9"/>
  <c r="L100" i="9"/>
  <c r="L99" i="9"/>
  <c r="L98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7" i="9"/>
  <c r="L76" i="9"/>
  <c r="L75" i="9"/>
  <c r="L73" i="9"/>
  <c r="L71" i="9"/>
  <c r="L70" i="9"/>
  <c r="L69" i="9"/>
  <c r="L68" i="9"/>
  <c r="L67" i="9"/>
  <c r="L66" i="9"/>
  <c r="L64" i="9"/>
  <c r="L63" i="9"/>
  <c r="L62" i="9"/>
  <c r="L61" i="9"/>
  <c r="L60" i="9"/>
  <c r="L59" i="9"/>
  <c r="L58" i="9"/>
  <c r="L56" i="9"/>
  <c r="L55" i="9"/>
  <c r="L54" i="9"/>
  <c r="L53" i="9"/>
  <c r="L51" i="9"/>
  <c r="L50" i="9"/>
  <c r="L49" i="9"/>
  <c r="L46" i="9"/>
  <c r="L45" i="9"/>
  <c r="L44" i="9"/>
  <c r="L43" i="9"/>
  <c r="L42" i="9"/>
  <c r="L40" i="9"/>
  <c r="L39" i="9"/>
  <c r="L38" i="9"/>
  <c r="L37" i="9"/>
  <c r="L35" i="9"/>
  <c r="L34" i="9"/>
  <c r="L33" i="9"/>
  <c r="L32" i="9"/>
  <c r="L30" i="9"/>
  <c r="L29" i="9"/>
  <c r="L28" i="9"/>
  <c r="L27" i="9"/>
  <c r="L26" i="9"/>
  <c r="L25" i="9"/>
  <c r="L24" i="9"/>
  <c r="L23" i="9"/>
  <c r="J107" i="9"/>
  <c r="J106" i="9"/>
  <c r="J105" i="9"/>
  <c r="J104" i="9"/>
  <c r="J103" i="9"/>
  <c r="J102" i="9"/>
  <c r="J101" i="9"/>
  <c r="J100" i="9"/>
  <c r="J99" i="9"/>
  <c r="J98" i="9"/>
  <c r="J93" i="9"/>
  <c r="J92" i="9"/>
  <c r="J91" i="9"/>
  <c r="J90" i="9"/>
  <c r="J89" i="9"/>
  <c r="J88" i="9"/>
  <c r="J86" i="9"/>
  <c r="J85" i="9"/>
  <c r="J84" i="9"/>
  <c r="J83" i="9"/>
  <c r="J81" i="9"/>
  <c r="J80" i="9"/>
  <c r="J79" i="9"/>
  <c r="J77" i="9"/>
  <c r="J76" i="9"/>
  <c r="J75" i="9"/>
  <c r="J73" i="9"/>
  <c r="J71" i="9"/>
  <c r="J70" i="9"/>
  <c r="J69" i="9"/>
  <c r="J68" i="9"/>
  <c r="J67" i="9"/>
  <c r="J66" i="9"/>
  <c r="J65" i="9"/>
  <c r="J64" i="9"/>
  <c r="J63" i="9"/>
  <c r="J62" i="9"/>
  <c r="J60" i="9"/>
  <c r="J59" i="9"/>
  <c r="J58" i="9"/>
  <c r="J57" i="9"/>
  <c r="J56" i="9"/>
  <c r="J55" i="9"/>
  <c r="J54" i="9"/>
  <c r="J53" i="9"/>
  <c r="J51" i="9"/>
  <c r="J50" i="9"/>
  <c r="J49" i="9"/>
  <c r="J46" i="9"/>
  <c r="J45" i="9"/>
  <c r="J44" i="9"/>
  <c r="J43" i="9"/>
  <c r="J42" i="9"/>
  <c r="J41" i="9"/>
  <c r="J40" i="9"/>
  <c r="J39" i="9"/>
  <c r="J38" i="9"/>
  <c r="J37" i="9"/>
  <c r="J35" i="9"/>
  <c r="J34" i="9"/>
  <c r="J33" i="9"/>
  <c r="J32" i="9"/>
  <c r="J31" i="9"/>
  <c r="J30" i="9"/>
  <c r="J29" i="9"/>
  <c r="J28" i="9"/>
  <c r="J26" i="9"/>
  <c r="J25" i="9"/>
  <c r="J24" i="9"/>
  <c r="J23" i="9"/>
  <c r="H107" i="9"/>
  <c r="H106" i="9"/>
  <c r="H105" i="9"/>
  <c r="H104" i="9"/>
  <c r="H103" i="9"/>
  <c r="H102" i="9"/>
  <c r="H101" i="9"/>
  <c r="H100" i="9"/>
  <c r="H99" i="9"/>
  <c r="H98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7" i="9"/>
  <c r="H76" i="9"/>
  <c r="H75" i="9"/>
  <c r="H73" i="9"/>
  <c r="H71" i="9"/>
  <c r="H70" i="9"/>
  <c r="H69" i="9"/>
  <c r="H68" i="9"/>
  <c r="H67" i="9"/>
  <c r="H66" i="9"/>
  <c r="H64" i="9"/>
  <c r="H63" i="9"/>
  <c r="H62" i="9"/>
  <c r="H61" i="9"/>
  <c r="H60" i="9"/>
  <c r="H59" i="9"/>
  <c r="H58" i="9"/>
  <c r="H56" i="9"/>
  <c r="H55" i="9"/>
  <c r="H54" i="9"/>
  <c r="H53" i="9"/>
  <c r="H51" i="9"/>
  <c r="H50" i="9"/>
  <c r="H49" i="9"/>
  <c r="H46" i="9"/>
  <c r="H45" i="9"/>
  <c r="H44" i="9"/>
  <c r="H43" i="9"/>
  <c r="H42" i="9"/>
  <c r="H40" i="9"/>
  <c r="H39" i="9"/>
  <c r="H38" i="9"/>
  <c r="H37" i="9"/>
  <c r="H35" i="9"/>
  <c r="H34" i="9"/>
  <c r="H33" i="9"/>
  <c r="H32" i="9"/>
  <c r="H30" i="9"/>
  <c r="H29" i="9"/>
  <c r="H28" i="9"/>
  <c r="H27" i="9"/>
  <c r="H26" i="9"/>
  <c r="H25" i="9"/>
  <c r="H24" i="9"/>
  <c r="H23" i="9"/>
  <c r="F107" i="9"/>
  <c r="F106" i="9"/>
  <c r="F105" i="9"/>
  <c r="F104" i="9"/>
  <c r="F103" i="9"/>
  <c r="F102" i="9"/>
  <c r="F101" i="9"/>
  <c r="F100" i="9"/>
  <c r="F99" i="9"/>
  <c r="F98" i="9"/>
  <c r="F93" i="9"/>
  <c r="F92" i="9"/>
  <c r="F91" i="9"/>
  <c r="F90" i="9"/>
  <c r="F89" i="9"/>
  <c r="F88" i="9"/>
  <c r="F86" i="9"/>
  <c r="F85" i="9"/>
  <c r="F84" i="9"/>
  <c r="F83" i="9"/>
  <c r="F81" i="9"/>
  <c r="F80" i="9"/>
  <c r="F79" i="9"/>
  <c r="F77" i="9"/>
  <c r="F76" i="9"/>
  <c r="F75" i="9"/>
  <c r="F73" i="9"/>
  <c r="F71" i="9"/>
  <c r="F70" i="9"/>
  <c r="F69" i="9"/>
  <c r="F68" i="9"/>
  <c r="F67" i="9"/>
  <c r="F66" i="9"/>
  <c r="F65" i="9"/>
  <c r="F64" i="9"/>
  <c r="F63" i="9"/>
  <c r="F62" i="9"/>
  <c r="F60" i="9"/>
  <c r="F59" i="9"/>
  <c r="F58" i="9"/>
  <c r="F57" i="9"/>
  <c r="F56" i="9"/>
  <c r="F55" i="9"/>
  <c r="F54" i="9"/>
  <c r="F53" i="9"/>
  <c r="F51" i="9"/>
  <c r="F50" i="9"/>
  <c r="F49" i="9"/>
  <c r="F46" i="9"/>
  <c r="F45" i="9"/>
  <c r="F44" i="9"/>
  <c r="F43" i="9"/>
  <c r="F42" i="9"/>
  <c r="F41" i="9"/>
  <c r="F40" i="9"/>
  <c r="F39" i="9"/>
  <c r="F38" i="9"/>
  <c r="F37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M87" i="9"/>
  <c r="K87" i="9"/>
  <c r="I87" i="9"/>
  <c r="J87" i="9" s="1"/>
  <c r="G87" i="9"/>
  <c r="E87" i="9"/>
  <c r="E82" i="9" s="1"/>
  <c r="F82" i="9" s="1"/>
  <c r="M78" i="9"/>
  <c r="K78" i="9"/>
  <c r="L78" i="9" s="1"/>
  <c r="I78" i="9"/>
  <c r="J78" i="9" s="1"/>
  <c r="G78" i="9"/>
  <c r="H78" i="9" s="1"/>
  <c r="E78" i="9"/>
  <c r="F78" i="9" s="1"/>
  <c r="M74" i="9"/>
  <c r="K74" i="9"/>
  <c r="L74" i="9" s="1"/>
  <c r="I74" i="9"/>
  <c r="J74" i="9" s="1"/>
  <c r="G74" i="9"/>
  <c r="H74" i="9" s="1"/>
  <c r="E74" i="9"/>
  <c r="F74" i="9" s="1"/>
  <c r="M72" i="9"/>
  <c r="K72" i="9"/>
  <c r="L72" i="9" s="1"/>
  <c r="I72" i="9"/>
  <c r="J72" i="9" s="1"/>
  <c r="G72" i="9"/>
  <c r="H72" i="9" s="1"/>
  <c r="E72" i="9"/>
  <c r="F72" i="9" s="1"/>
  <c r="M65" i="9"/>
  <c r="K65" i="9"/>
  <c r="L65" i="9" s="1"/>
  <c r="I65" i="9"/>
  <c r="G65" i="9"/>
  <c r="H65" i="9" s="1"/>
  <c r="E65" i="9"/>
  <c r="M61" i="9"/>
  <c r="K61" i="9"/>
  <c r="I61" i="9"/>
  <c r="J61" i="9" s="1"/>
  <c r="G61" i="9"/>
  <c r="E61" i="9"/>
  <c r="F61" i="9" s="1"/>
  <c r="M57" i="9"/>
  <c r="K57" i="9"/>
  <c r="L57" i="9" s="1"/>
  <c r="I57" i="9"/>
  <c r="G57" i="9"/>
  <c r="H57" i="9" s="1"/>
  <c r="E57" i="9"/>
  <c r="M52" i="9"/>
  <c r="K52" i="9"/>
  <c r="L52" i="9" s="1"/>
  <c r="I52" i="9"/>
  <c r="J52" i="9" s="1"/>
  <c r="G52" i="9"/>
  <c r="E52" i="9"/>
  <c r="F52" i="9" s="1"/>
  <c r="M48" i="9"/>
  <c r="K48" i="9"/>
  <c r="L48" i="9" s="1"/>
  <c r="I48" i="9"/>
  <c r="G48" i="9"/>
  <c r="H48" i="9" s="1"/>
  <c r="E48" i="9"/>
  <c r="F48" i="9" s="1"/>
  <c r="M41" i="9"/>
  <c r="K41" i="9"/>
  <c r="L41" i="9" s="1"/>
  <c r="I41" i="9"/>
  <c r="G41" i="9"/>
  <c r="H41" i="9" s="1"/>
  <c r="E41" i="9"/>
  <c r="M36" i="9"/>
  <c r="K36" i="9"/>
  <c r="L36" i="9" s="1"/>
  <c r="I36" i="9"/>
  <c r="J36" i="9" s="1"/>
  <c r="G36" i="9"/>
  <c r="H36" i="9" s="1"/>
  <c r="E36" i="9"/>
  <c r="F36" i="9" s="1"/>
  <c r="M31" i="9"/>
  <c r="K31" i="9"/>
  <c r="L31" i="9" s="1"/>
  <c r="I31" i="9"/>
  <c r="G31" i="9"/>
  <c r="H31" i="9" s="1"/>
  <c r="E31" i="9"/>
  <c r="M27" i="9"/>
  <c r="K27" i="9"/>
  <c r="I27" i="9"/>
  <c r="J27" i="9" s="1"/>
  <c r="G27" i="9"/>
  <c r="E27" i="9"/>
  <c r="M22" i="9"/>
  <c r="K22" i="9"/>
  <c r="L22" i="9" s="1"/>
  <c r="I22" i="9"/>
  <c r="J22" i="9" s="1"/>
  <c r="G22" i="9"/>
  <c r="H22" i="9" s="1"/>
  <c r="E22" i="9"/>
  <c r="G21" i="9"/>
  <c r="H21" i="9" s="1"/>
  <c r="I72" i="7"/>
  <c r="H72" i="7"/>
  <c r="G72" i="7"/>
  <c r="F72" i="7"/>
  <c r="E72" i="7"/>
  <c r="I65" i="7"/>
  <c r="H65" i="7"/>
  <c r="G65" i="7"/>
  <c r="F65" i="7"/>
  <c r="E65" i="7"/>
  <c r="I36" i="7"/>
  <c r="F36" i="7"/>
  <c r="G36" i="7"/>
  <c r="H36" i="7"/>
  <c r="E36" i="7"/>
  <c r="H10" i="10" l="1"/>
  <c r="F24" i="10"/>
  <c r="I24" i="10"/>
  <c r="E10" i="10"/>
  <c r="I10" i="10"/>
  <c r="G24" i="10"/>
  <c r="F87" i="9"/>
  <c r="E21" i="9"/>
  <c r="M21" i="9"/>
  <c r="K21" i="9"/>
  <c r="I21" i="9"/>
  <c r="I47" i="9"/>
  <c r="J47" i="9" s="1"/>
  <c r="G47" i="9"/>
  <c r="H47" i="9" s="1"/>
  <c r="E47" i="9"/>
  <c r="F47" i="9" s="1"/>
  <c r="M47" i="9"/>
  <c r="H52" i="9"/>
  <c r="J48" i="9"/>
  <c r="K47" i="9"/>
  <c r="L47" i="9" s="1"/>
  <c r="F87" i="7"/>
  <c r="G87" i="7"/>
  <c r="H87" i="7"/>
  <c r="I87" i="7"/>
  <c r="E87" i="7"/>
  <c r="E82" i="7"/>
  <c r="F78" i="7"/>
  <c r="G78" i="7"/>
  <c r="H78" i="7"/>
  <c r="I78" i="7"/>
  <c r="E78" i="7"/>
  <c r="F74" i="7"/>
  <c r="G74" i="7"/>
  <c r="H74" i="7"/>
  <c r="I74" i="7"/>
  <c r="E74" i="7"/>
  <c r="F61" i="7"/>
  <c r="G61" i="7"/>
  <c r="H61" i="7"/>
  <c r="I61" i="7"/>
  <c r="E61" i="7"/>
  <c r="F57" i="7"/>
  <c r="G57" i="7"/>
  <c r="H57" i="7"/>
  <c r="H47" i="7" s="1"/>
  <c r="I57" i="7"/>
  <c r="E57" i="7"/>
  <c r="F52" i="7"/>
  <c r="G52" i="7"/>
  <c r="H52" i="7"/>
  <c r="I52" i="7"/>
  <c r="E52" i="7"/>
  <c r="F48" i="7"/>
  <c r="F47" i="7" s="1"/>
  <c r="G48" i="7"/>
  <c r="H48" i="7"/>
  <c r="I48" i="7"/>
  <c r="E48" i="7"/>
  <c r="F41" i="7"/>
  <c r="G41" i="7"/>
  <c r="H41" i="7"/>
  <c r="I41" i="7"/>
  <c r="E41" i="7"/>
  <c r="F31" i="7"/>
  <c r="F21" i="7" s="1"/>
  <c r="G31" i="7"/>
  <c r="H31" i="7"/>
  <c r="I31" i="7"/>
  <c r="E31" i="7"/>
  <c r="F27" i="7"/>
  <c r="G27" i="7"/>
  <c r="H27" i="7"/>
  <c r="I27" i="7"/>
  <c r="E27" i="7"/>
  <c r="F22" i="7"/>
  <c r="G22" i="7"/>
  <c r="H22" i="7"/>
  <c r="I22" i="7"/>
  <c r="E22" i="7"/>
  <c r="G21" i="7"/>
  <c r="I31" i="3"/>
  <c r="I24" i="3"/>
  <c r="F24" i="3"/>
  <c r="F31" i="3"/>
  <c r="G31" i="3"/>
  <c r="H31" i="3"/>
  <c r="G24" i="3"/>
  <c r="H24" i="3"/>
  <c r="E31" i="3"/>
  <c r="E24" i="3"/>
  <c r="I10" i="3"/>
  <c r="H10" i="3"/>
  <c r="G10" i="3"/>
  <c r="F17" i="3"/>
  <c r="G17" i="3"/>
  <c r="H17" i="3"/>
  <c r="I17" i="3"/>
  <c r="E17" i="3"/>
  <c r="F10" i="3"/>
  <c r="E10" i="3"/>
  <c r="F12" i="5"/>
  <c r="F11" i="5" s="1"/>
  <c r="F10" i="5" s="1"/>
  <c r="E12" i="5"/>
  <c r="E11" i="5" s="1"/>
  <c r="E10" i="5" s="1"/>
  <c r="C12" i="5"/>
  <c r="C11" i="5" s="1"/>
  <c r="C10" i="5" s="1"/>
  <c r="B12" i="5"/>
  <c r="B11" i="5" s="1"/>
  <c r="B10" i="5" s="1"/>
  <c r="I20" i="9" l="1"/>
  <c r="J21" i="9"/>
  <c r="K20" i="9"/>
  <c r="L20" i="9" s="1"/>
  <c r="L21" i="9"/>
  <c r="M20" i="9"/>
  <c r="N20" i="9" s="1"/>
  <c r="G20" i="9"/>
  <c r="H20" i="9" s="1"/>
  <c r="E20" i="9"/>
  <c r="H21" i="7"/>
  <c r="F20" i="7"/>
  <c r="G47" i="7"/>
  <c r="G20" i="7" s="1"/>
  <c r="I47" i="7"/>
  <c r="E47" i="7"/>
  <c r="H20" i="7"/>
  <c r="E21" i="7"/>
  <c r="I21" i="7"/>
  <c r="I20" i="7" l="1"/>
  <c r="E20" i="7"/>
</calcChain>
</file>

<file path=xl/sharedStrings.xml><?xml version="1.0" encoding="utf-8"?>
<sst xmlns="http://schemas.openxmlformats.org/spreadsheetml/2006/main" count="492" uniqueCount="130">
  <si>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</si>
  <si>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</si>
  <si>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</si>
  <si>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</si>
  <si>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</si>
  <si>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</si>
  <si>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</si>
  <si>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</si>
  <si>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</si>
  <si>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</si>
  <si>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</si>
  <si>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</si>
  <si>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</si>
  <si>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</si>
  <si>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</si>
  <si>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</si>
  <si>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</si>
  <si>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</si>
  <si>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</si>
  <si>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</si>
  <si>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</si>
  <si>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</si>
  <si>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</si>
  <si>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</si>
  <si>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</si>
  <si>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</si>
  <si>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</si>
  <si>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</si>
  <si>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</si>
  <si>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</si>
  <si>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</si>
  <si>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</si>
  <si>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</si>
  <si>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</si>
  <si>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</si>
  <si>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</si>
  <si>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</si>
  <si>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</si>
  <si>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</si>
  <si>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</si>
  <si>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</si>
  <si>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</si>
  <si>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</si>
  <si>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</si>
  <si>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</si>
  <si>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</si>
  <si>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</si>
  <si>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</si>
  <si>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</si>
  <si>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</si>
  <si>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</si>
  <si>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</si>
  <si>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</si>
  <si>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</si>
  <si>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</si>
  <si>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</si>
  <si>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</si>
  <si>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</si>
  <si>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</si>
  <si>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</si>
  <si>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</si>
  <si>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</si>
  <si>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</si>
  <si>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</si>
  <si>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</si>
  <si>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</si>
  <si>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</si>
  <si>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</si>
  <si>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</si>
  <si>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</si>
  <si>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</si>
  <si>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</si>
  <si>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09 OBRAZOVANJE</t>
  </si>
  <si>
    <t>092 Srednjoškolsko obrazovanje</t>
  </si>
  <si>
    <t>Prihodi od prodaje proizvoda i robe te pruženih usluga i prihodi od donacija</t>
  </si>
  <si>
    <t>Financijski rashodi</t>
  </si>
  <si>
    <t>REDOVNA DJELATNOST - MINIMALNI STANDARDI</t>
  </si>
  <si>
    <t>A220101</t>
  </si>
  <si>
    <t>MATERIJALNI RASHODI PO KRITERIJIMA</t>
  </si>
  <si>
    <t>Decentralizirana sredstva za SŠ</t>
  </si>
  <si>
    <t>Financijski  rashodi</t>
  </si>
  <si>
    <t>A220102</t>
  </si>
  <si>
    <t>MATER. RASHODI PO STVARNOM TROŠKU</t>
  </si>
  <si>
    <t>A220103</t>
  </si>
  <si>
    <t>MATERIJALNI RASHODI - DRUGI IZVORI</t>
  </si>
  <si>
    <t>Vlastiti prihodi SŠ</t>
  </si>
  <si>
    <t>Prihodi za posebne namjene za SŠ</t>
  </si>
  <si>
    <t>Donacije</t>
  </si>
  <si>
    <t>A220104</t>
  </si>
  <si>
    <t>PLAĆE I DR.RASHODI ZA ZAPOSLENE SŠ</t>
  </si>
  <si>
    <t>MZO za proračunske korisnike</t>
  </si>
  <si>
    <t>PROGRAMI OBRAZOVANJA IZNAD STANDARDA</t>
  </si>
  <si>
    <t>A230101</t>
  </si>
  <si>
    <t>MATERIJALNI TROŠKOVI IZNAD STANDARDA</t>
  </si>
  <si>
    <t>Nenamjenski prihodi i primici</t>
  </si>
  <si>
    <t>A230104</t>
  </si>
  <si>
    <t>POMOĆNICI U NASTAVI</t>
  </si>
  <si>
    <t>A230162</t>
  </si>
  <si>
    <t>NAKNADA ZA ŽSV</t>
  </si>
  <si>
    <t>AZZO za proračunske korisnike</t>
  </si>
  <si>
    <t>A230168</t>
  </si>
  <si>
    <t>EU PROJEKTI KOD PRORAČUNSKIH KORISNIKA</t>
  </si>
  <si>
    <t>Prihodi od institucija EU</t>
  </si>
  <si>
    <t>Ostale institucije za srednje škole</t>
  </si>
  <si>
    <t>A230176</t>
  </si>
  <si>
    <t>Državno natjecanje</t>
  </si>
  <si>
    <t>A230184</t>
  </si>
  <si>
    <t>ZAVIČAJNA NASTAVA</t>
  </si>
  <si>
    <t>OPREMANJE U SŠ</t>
  </si>
  <si>
    <t>K240601</t>
  </si>
  <si>
    <t>ŠKOLSKI NAMJEŠTAJ I OPREMA</t>
  </si>
  <si>
    <t>K240602</t>
  </si>
  <si>
    <t>OPREMANJE BIBLIOTEKE</t>
  </si>
  <si>
    <t>MOZAIK 4</t>
  </si>
  <si>
    <t>T910801</t>
  </si>
  <si>
    <t>PROVEDBA PROJEKTA MOZAIK 4</t>
  </si>
  <si>
    <t>Strukturni fondovi EU</t>
  </si>
  <si>
    <t>091</t>
  </si>
  <si>
    <t>17249 INDUSTRIJSKO-OBRTNIČKA ŠKOLA PULA</t>
  </si>
  <si>
    <t>Rashodi za nabavu nefinan.imovine</t>
  </si>
  <si>
    <t>EUR</t>
  </si>
  <si>
    <t>KN</t>
  </si>
  <si>
    <t>K240604</t>
  </si>
  <si>
    <t>OPREMANJE KABINETA</t>
  </si>
  <si>
    <t>URBROJ: 2168-22-22-01</t>
  </si>
  <si>
    <t>Pula, 30. prosinca 2022. godine</t>
  </si>
  <si>
    <t>KLASA: 400-02/22-01/06</t>
  </si>
  <si>
    <t>Predsjednik Školskog odbora:</t>
  </si>
  <si>
    <t>Mauricio Smoković</t>
  </si>
  <si>
    <t>URBROJ: 2168-22-22-0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</si>
</sst>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9" fillId="3" borderId="2" xfId="0" applyNumberFormat="1" applyFont="1" applyFill="1" applyBorder="1" applyAlignment="1" applyProtection="1">
      <alignment vertical="center"/>
    </xf>
    <xf numFmtId="0" fontId="21" fillId="0" borderId="11" xfId="0" applyNumberFormat="1" applyFont="1" applyFill="1" applyBorder="1" applyAlignment="1" applyProtection="1">
      <alignment horizontal="center" vertical="center"/>
    </xf>
    <xf numFmtId="0" fontId="21" fillId="0" borderId="12" xfId="0" applyNumberFormat="1" applyFont="1" applyFill="1" applyBorder="1" applyAlignment="1" applyProtection="1">
      <alignment vertical="center" wrapText="1"/>
    </xf>
    <xf numFmtId="4" fontId="21" fillId="0" borderId="12" xfId="0" applyNumberFormat="1" applyFont="1" applyFill="1" applyBorder="1" applyAlignment="1" applyProtection="1">
      <alignment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9" xfId="0" applyNumberFormat="1" applyFont="1" applyFill="1" applyBorder="1" applyAlignment="1" applyProtection="1">
      <alignment vertical="center" wrapText="1"/>
    </xf>
    <xf numFmtId="4" fontId="21" fillId="0" borderId="9" xfId="0" applyNumberFormat="1" applyFont="1" applyFill="1" applyBorder="1" applyAlignment="1" applyProtection="1">
      <alignment vertical="center"/>
    </xf>
    <xf numFmtId="4" fontId="21" fillId="0" borderId="0" xfId="0" applyNumberFormat="1" applyFont="1" applyFill="1" applyBorder="1" applyAlignment="1" applyProtection="1">
      <alignment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0" fontId="21" fillId="0" borderId="14" xfId="0" applyNumberFormat="1" applyFont="1" applyFill="1" applyBorder="1" applyAlignment="1" applyProtection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/>
    </xf>
    <xf numFmtId="4" fontId="21" fillId="0" borderId="17" xfId="0" applyNumberFormat="1" applyFont="1" applyFill="1" applyBorder="1" applyAlignment="1" applyProtection="1">
      <alignment vertical="center"/>
    </xf>
    <xf numFmtId="4" fontId="21" fillId="0" borderId="18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0" fillId="0" borderId="0" xfId="0" applyFill="1"/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3" fontId="3" fillId="0" borderId="4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 applyProtection="1">
      <alignment horizontal="right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24" fillId="0" borderId="6" xfId="0" applyNumberFormat="1" applyFont="1" applyFill="1" applyBorder="1" applyAlignment="1" applyProtection="1">
      <alignment vertical="center" wrapText="1"/>
    </xf>
    <xf numFmtId="4" fontId="23" fillId="0" borderId="6" xfId="0" applyNumberFormat="1" applyFont="1" applyFill="1" applyBorder="1" applyAlignment="1" applyProtection="1">
      <alignment vertical="center"/>
    </xf>
    <xf numFmtId="3" fontId="20" fillId="0" borderId="6" xfId="0" applyNumberFormat="1" applyFont="1" applyFill="1" applyBorder="1" applyAlignment="1" applyProtection="1">
      <alignment vertical="center" wrapText="1"/>
    </xf>
    <xf numFmtId="4" fontId="20" fillId="0" borderId="7" xfId="0" applyNumberFormat="1" applyFont="1" applyFill="1" applyBorder="1" applyAlignment="1" applyProtection="1">
      <alignment vertical="center"/>
    </xf>
    <xf numFmtId="3" fontId="20" fillId="0" borderId="9" xfId="0" applyNumberFormat="1" applyFont="1" applyFill="1" applyBorder="1" applyAlignment="1" applyProtection="1">
      <alignment vertical="center" wrapText="1"/>
    </xf>
    <xf numFmtId="3" fontId="20" fillId="0" borderId="6" xfId="0" applyNumberFormat="1" applyFont="1" applyFill="1" applyBorder="1" applyAlignment="1" applyProtection="1">
      <alignment vertical="center"/>
    </xf>
    <xf numFmtId="4" fontId="20" fillId="0" borderId="9" xfId="0" applyNumberFormat="1" applyFont="1" applyFill="1" applyBorder="1" applyAlignment="1" applyProtection="1">
      <alignment vertical="center"/>
    </xf>
    <xf numFmtId="4" fontId="20" fillId="0" borderId="18" xfId="0" applyNumberFormat="1" applyFont="1" applyFill="1" applyBorder="1" applyAlignment="1" applyProtection="1">
      <alignment vertical="center"/>
    </xf>
    <xf numFmtId="3" fontId="6" fillId="0" borderId="6" xfId="0" applyNumberFormat="1" applyFont="1" applyFill="1" applyBorder="1" applyAlignment="1" applyProtection="1">
      <alignment vertical="center" wrapText="1"/>
    </xf>
    <xf numFmtId="4" fontId="6" fillId="0" borderId="7" xfId="0" applyNumberFormat="1" applyFont="1" applyFill="1" applyBorder="1" applyAlignment="1" applyProtection="1">
      <alignment vertical="center"/>
    </xf>
    <xf numFmtId="4" fontId="6" fillId="0" borderId="15" xfId="0" applyNumberFormat="1" applyFont="1" applyFill="1" applyBorder="1" applyAlignment="1" applyProtection="1">
      <alignment vertical="center"/>
    </xf>
    <xf numFmtId="0" fontId="20" fillId="0" borderId="13" xfId="0" applyNumberFormat="1" applyFont="1" applyFill="1" applyBorder="1" applyAlignment="1" applyProtection="1">
      <alignment horizontal="left" vertical="center"/>
    </xf>
    <xf numFmtId="0" fontId="22" fillId="0" borderId="7" xfId="0" applyNumberFormat="1" applyFont="1" applyFill="1" applyBorder="1" applyAlignment="1" applyProtection="1">
      <alignment horizontal="left" vertical="center"/>
    </xf>
    <xf numFmtId="0" fontId="1" fillId="0" borderId="0" xfId="0" applyFont="1" applyFill="1"/>
    <xf numFmtId="0" fontId="0" fillId="0" borderId="0" xfId="0" applyFont="1" applyFill="1"/>
    <xf numFmtId="4" fontId="20" fillId="0" borderId="10" xfId="0" applyNumberFormat="1" applyFont="1" applyFill="1" applyBorder="1" applyAlignment="1" applyProtection="1">
      <alignment vertical="center"/>
    </xf>
    <xf numFmtId="4" fontId="20" fillId="0" borderId="16" xfId="0" applyNumberFormat="1" applyFont="1" applyFill="1" applyBorder="1" applyAlignment="1" applyProtection="1">
      <alignment vertical="center"/>
    </xf>
    <xf numFmtId="4" fontId="23" fillId="0" borderId="16" xfId="0" applyNumberFormat="1" applyFont="1" applyFill="1" applyBorder="1" applyAlignment="1" applyProtection="1">
      <alignment vertical="center"/>
    </xf>
    <xf numFmtId="4" fontId="20" fillId="0" borderId="15" xfId="0" applyNumberFormat="1" applyFont="1" applyFill="1" applyBorder="1" applyAlignment="1" applyProtection="1">
      <alignment vertical="center"/>
    </xf>
    <xf numFmtId="3" fontId="1" fillId="0" borderId="0" xfId="0" applyNumberFormat="1" applyFont="1"/>
    <xf numFmtId="0" fontId="21" fillId="0" borderId="19" xfId="0" applyNumberFormat="1" applyFont="1" applyFill="1" applyBorder="1" applyAlignment="1" applyProtection="1">
      <alignment horizontal="center" vertical="center"/>
    </xf>
    <xf numFmtId="0" fontId="20" fillId="0" borderId="20" xfId="0" applyNumberFormat="1" applyFont="1" applyFill="1" applyBorder="1" applyAlignment="1" applyProtection="1">
      <alignment horizontal="center" vertical="center"/>
    </xf>
    <xf numFmtId="0" fontId="21" fillId="0" borderId="21" xfId="0" applyNumberFormat="1" applyFont="1" applyFill="1" applyBorder="1" applyAlignment="1" applyProtection="1">
      <alignment vertical="center" wrapText="1"/>
    </xf>
    <xf numFmtId="4" fontId="21" fillId="0" borderId="21" xfId="0" applyNumberFormat="1" applyFont="1" applyFill="1" applyBorder="1" applyAlignment="1" applyProtection="1">
      <alignment vertical="center"/>
    </xf>
    <xf numFmtId="4" fontId="21" fillId="0" borderId="22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Alignment="1">
      <alignment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2" xfId="0" applyNumberFormat="1" applyFont="1" applyFill="1" applyBorder="1" applyAlignment="1" applyProtection="1">
      <alignment horizontal="left" vertical="center" wrapText="1" indent="1"/>
    </xf>
    <xf numFmtId="0" fontId="3" fillId="0" borderId="4" xfId="0" applyNumberFormat="1" applyFont="1" applyFill="1" applyBorder="1" applyAlignment="1" applyProtection="1">
      <alignment horizontal="left" vertical="center" wrapText="1" indent="1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2" xfId="0" applyNumberFormat="1" applyFont="1" applyFill="1" applyBorder="1" applyAlignment="1" applyProtection="1">
      <alignment horizontal="left" vertical="center" wrapText="1"/>
    </xf>
    <xf numFmtId="49" fontId="24" fillId="0" borderId="13" xfId="0" applyNumberFormat="1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49" fontId="23" fillId="0" borderId="2" xfId="0" applyNumberFormat="1" applyFont="1" applyFill="1" applyBorder="1" applyAlignment="1" applyProtection="1">
      <alignment horizontal="left" vertical="center" wrapText="1"/>
    </xf>
    <xf numFmtId="49" fontId="23" fillId="0" borderId="13" xfId="0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left" vertical="center" wrapText="1"/>
    </xf>
    <xf numFmtId="49" fontId="25" fillId="0" borderId="2" xfId="0" applyNumberFormat="1" applyFont="1" applyFill="1" applyBorder="1" applyAlignment="1" applyProtection="1">
      <alignment horizontal="left" vertical="center" wrapText="1"/>
    </xf>
    <xf numFmtId="49" fontId="25" fillId="0" borderId="13" xfId="0" applyNumberFormat="1" applyFont="1" applyFill="1" applyBorder="1" applyAlignment="1" applyProtection="1">
      <alignment horizontal="left" vertical="center" wrapText="1"/>
    </xf>
    <xf numFmtId="0" fontId="22" fillId="0" borderId="1" xfId="0" applyNumberFormat="1" applyFont="1" applyFill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 applyProtection="1">
      <alignment horizontal="left" vertical="center"/>
    </xf>
    <xf numFmtId="0" fontId="22" fillId="0" borderId="13" xfId="0" applyNumberFormat="1" applyFont="1" applyFill="1" applyBorder="1" applyAlignment="1" applyProtection="1">
      <alignment horizontal="left" vertical="center"/>
    </xf>
    <xf numFmtId="0" fontId="24" fillId="0" borderId="1" xfId="0" applyNumberFormat="1" applyFont="1" applyFill="1" applyBorder="1" applyAlignment="1" applyProtection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NumberFormat="1" applyFont="1" applyFill="1" applyBorder="1" applyAlignment="1" applyProtection="1">
      <alignment horizontal="left"/>
    </xf>
    <xf numFmtId="0" fontId="26" fillId="0" borderId="0" xfId="0" applyFont="1" applyFill="1" applyAlignment="1">
      <alignment vertical="center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NumberFormat="1" applyFont="1" applyFill="1" applyBorder="1" applyAlignment="1" applyProtection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opLeftCell="A19" zoomScale="90" zoomScaleNormal="90" workbookViewId="0">
      <selection activeCell="A38" sqref="A38:K40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0" t="s">
        <v>67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8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x14ac:dyDescent="0.25">
      <c r="A3" s="100" t="s">
        <v>37</v>
      </c>
      <c r="B3" s="100"/>
      <c r="C3" s="100"/>
      <c r="D3" s="100"/>
      <c r="E3" s="100"/>
      <c r="F3" s="100"/>
      <c r="G3" s="100"/>
      <c r="H3" s="100"/>
      <c r="I3" s="111"/>
      <c r="J3" s="111"/>
    </row>
    <row r="4" spans="1:10" ht="18" x14ac:dyDescent="0.25">
      <c r="A4" s="30"/>
      <c r="B4" s="30"/>
      <c r="C4" s="30"/>
      <c r="D4" s="30"/>
      <c r="E4" s="30"/>
      <c r="F4" s="30"/>
      <c r="G4" s="30"/>
      <c r="H4" s="30"/>
      <c r="I4" s="6"/>
      <c r="J4" s="6"/>
    </row>
    <row r="5" spans="1:10" ht="18" customHeight="1" x14ac:dyDescent="0.25">
      <c r="A5" s="100" t="s">
        <v>53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4" t="s">
        <v>120</v>
      </c>
    </row>
    <row r="7" spans="1:10" ht="25.5" x14ac:dyDescent="0.25">
      <c r="A7" s="33"/>
      <c r="B7" s="34"/>
      <c r="C7" s="34"/>
      <c r="D7" s="35"/>
      <c r="E7" s="36"/>
      <c r="F7" s="4" t="s">
        <v>55</v>
      </c>
      <c r="G7" s="4" t="s">
        <v>56</v>
      </c>
      <c r="H7" s="4" t="s">
        <v>60</v>
      </c>
      <c r="I7" s="4" t="s">
        <v>61</v>
      </c>
      <c r="J7" s="4" t="s">
        <v>62</v>
      </c>
    </row>
    <row r="8" spans="1:10" x14ac:dyDescent="0.25">
      <c r="A8" s="112" t="s">
        <v>0</v>
      </c>
      <c r="B8" s="99"/>
      <c r="C8" s="99"/>
      <c r="D8" s="99"/>
      <c r="E8" s="113"/>
      <c r="F8" s="37">
        <f>SUM(F9:F10)</f>
        <v>747858.05826531281</v>
      </c>
      <c r="G8" s="37">
        <f t="shared" ref="G8:J8" si="0">SUM(G9:G10)</f>
        <v>914746.43307452381</v>
      </c>
      <c r="H8" s="37">
        <f t="shared" si="0"/>
        <v>907996.69055677205</v>
      </c>
      <c r="I8" s="37">
        <f t="shared" si="0"/>
        <v>737225.00099542097</v>
      </c>
      <c r="J8" s="37">
        <f t="shared" si="0"/>
        <v>737225.00099542097</v>
      </c>
    </row>
    <row r="9" spans="1:10" x14ac:dyDescent="0.25">
      <c r="A9" s="110" t="s">
        <v>1</v>
      </c>
      <c r="B9" s="109"/>
      <c r="C9" s="109"/>
      <c r="D9" s="109"/>
      <c r="E9" s="114"/>
      <c r="F9" s="38">
        <f>5634736.54/7.5345</f>
        <v>747858.05826531281</v>
      </c>
      <c r="G9" s="38">
        <f>6811657/7.5345</f>
        <v>904062.2469971464</v>
      </c>
      <c r="H9" s="38">
        <f>6838814.68/7.5345+330</f>
        <v>907996.69055677205</v>
      </c>
      <c r="I9" s="38">
        <f>5554621.77/7.5345</f>
        <v>737225.00099542097</v>
      </c>
      <c r="J9" s="38">
        <f>5554621.77/7.5345</f>
        <v>737225.00099542097</v>
      </c>
    </row>
    <row r="10" spans="1:10" x14ac:dyDescent="0.25">
      <c r="A10" s="115" t="s">
        <v>2</v>
      </c>
      <c r="B10" s="114"/>
      <c r="C10" s="114"/>
      <c r="D10" s="114"/>
      <c r="E10" s="114"/>
      <c r="F10" s="38">
        <v>0</v>
      </c>
      <c r="G10" s="38">
        <f>80500/7.5345</f>
        <v>10684.186077377397</v>
      </c>
      <c r="H10" s="38">
        <v>0</v>
      </c>
      <c r="I10" s="38">
        <v>0</v>
      </c>
      <c r="J10" s="38">
        <v>0</v>
      </c>
    </row>
    <row r="11" spans="1:10" x14ac:dyDescent="0.25">
      <c r="A11" s="45" t="s">
        <v>3</v>
      </c>
      <c r="B11" s="47"/>
      <c r="C11" s="47"/>
      <c r="D11" s="47"/>
      <c r="E11" s="47"/>
      <c r="F11" s="37">
        <f>SUM(F12:F13)</f>
        <v>741920.59327095351</v>
      </c>
      <c r="G11" s="37">
        <f t="shared" ref="G11:J11" si="1">SUM(G12:G13)</f>
        <v>931011.08235450252</v>
      </c>
      <c r="H11" s="37">
        <f t="shared" si="1"/>
        <v>929222.42550932372</v>
      </c>
      <c r="I11" s="37">
        <f t="shared" si="1"/>
        <v>737225.00099542097</v>
      </c>
      <c r="J11" s="37">
        <f t="shared" si="1"/>
        <v>737225.00099542097</v>
      </c>
    </row>
    <row r="12" spans="1:10" ht="14.45" x14ac:dyDescent="0.3">
      <c r="A12" s="108" t="s">
        <v>4</v>
      </c>
      <c r="B12" s="109"/>
      <c r="C12" s="109"/>
      <c r="D12" s="109"/>
      <c r="E12" s="109"/>
      <c r="F12" s="38">
        <f>5558630.97/7.5345</f>
        <v>737757.11327891692</v>
      </c>
      <c r="G12" s="38">
        <f>5738980/7.5345</f>
        <v>761693.54303537053</v>
      </c>
      <c r="H12" s="38">
        <f>5836726.14/7.5345</f>
        <v>774666.6852478598</v>
      </c>
      <c r="I12" s="38">
        <f>5552361.42/7.5345</f>
        <v>736925.00099542097</v>
      </c>
      <c r="J12" s="38">
        <f>5552361.42/7.5345</f>
        <v>736925.00099542097</v>
      </c>
    </row>
    <row r="13" spans="1:10" ht="14.45" x14ac:dyDescent="0.3">
      <c r="A13" s="116" t="s">
        <v>5</v>
      </c>
      <c r="B13" s="114"/>
      <c r="C13" s="114"/>
      <c r="D13" s="114"/>
      <c r="E13" s="114"/>
      <c r="F13" s="39">
        <f>31369.74/7.5345</f>
        <v>4163.4799920366313</v>
      </c>
      <c r="G13" s="39">
        <f>1275723/7.5345</f>
        <v>169317.53931913199</v>
      </c>
      <c r="H13" s="39">
        <f>(12055.2+1002088.5+37866.44+110003.7)/7.5345+330</f>
        <v>154555.74026146391</v>
      </c>
      <c r="I13" s="39">
        <f>2260.35/7.5345</f>
        <v>299.99999999999994</v>
      </c>
      <c r="J13" s="39">
        <f>2260.35/7.5345</f>
        <v>299.99999999999994</v>
      </c>
    </row>
    <row r="14" spans="1:10" x14ac:dyDescent="0.25">
      <c r="A14" s="98" t="s">
        <v>6</v>
      </c>
      <c r="B14" s="99"/>
      <c r="C14" s="99"/>
      <c r="D14" s="99"/>
      <c r="E14" s="99"/>
      <c r="F14" s="37">
        <f>+F8-F11</f>
        <v>5937.4649943592958</v>
      </c>
      <c r="G14" s="37">
        <f t="shared" ref="G14:J14" si="2">+G8-G11</f>
        <v>-16264.649279978708</v>
      </c>
      <c r="H14" s="37">
        <f t="shared" si="2"/>
        <v>-21225.734952551662</v>
      </c>
      <c r="I14" s="37">
        <f t="shared" si="2"/>
        <v>0</v>
      </c>
      <c r="J14" s="37">
        <f t="shared" si="2"/>
        <v>0</v>
      </c>
    </row>
    <row r="15" spans="1:10" ht="18" x14ac:dyDescent="0.25">
      <c r="A15" s="30"/>
      <c r="B15" s="28"/>
      <c r="C15" s="28"/>
      <c r="D15" s="28"/>
      <c r="E15" s="28"/>
      <c r="F15" s="28"/>
      <c r="G15" s="28"/>
      <c r="H15" s="29"/>
      <c r="I15" s="29"/>
      <c r="J15" s="29"/>
    </row>
    <row r="16" spans="1:10" ht="18" customHeight="1" x14ac:dyDescent="0.25">
      <c r="A16" s="100" t="s">
        <v>54</v>
      </c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ht="18" x14ac:dyDescent="0.25">
      <c r="A17" s="30"/>
      <c r="B17" s="28"/>
      <c r="C17" s="28"/>
      <c r="D17" s="28"/>
      <c r="E17" s="28"/>
      <c r="F17" s="28"/>
      <c r="G17" s="28"/>
      <c r="H17" s="29"/>
      <c r="I17" s="29"/>
      <c r="J17" s="29"/>
    </row>
    <row r="18" spans="1:10" ht="25.5" x14ac:dyDescent="0.25">
      <c r="A18" s="33"/>
      <c r="B18" s="34"/>
      <c r="C18" s="34"/>
      <c r="D18" s="35"/>
      <c r="E18" s="36"/>
      <c r="F18" s="4" t="s">
        <v>12</v>
      </c>
      <c r="G18" s="4" t="s">
        <v>13</v>
      </c>
      <c r="H18" s="4" t="s">
        <v>60</v>
      </c>
      <c r="I18" s="4" t="s">
        <v>61</v>
      </c>
      <c r="J18" s="4" t="s">
        <v>62</v>
      </c>
    </row>
    <row r="19" spans="1:10" ht="15.75" customHeight="1" x14ac:dyDescent="0.25">
      <c r="A19" s="110" t="s">
        <v>8</v>
      </c>
      <c r="B19" s="117"/>
      <c r="C19" s="117"/>
      <c r="D19" s="117"/>
      <c r="E19" s="118"/>
      <c r="F19" s="39"/>
      <c r="G19" s="39"/>
      <c r="H19" s="39"/>
      <c r="I19" s="39"/>
      <c r="J19" s="39"/>
    </row>
    <row r="20" spans="1:10" x14ac:dyDescent="0.25">
      <c r="A20" s="110" t="s">
        <v>9</v>
      </c>
      <c r="B20" s="109"/>
      <c r="C20" s="109"/>
      <c r="D20" s="109"/>
      <c r="E20" s="109"/>
      <c r="F20" s="39"/>
      <c r="G20" s="39"/>
      <c r="H20" s="39"/>
      <c r="I20" s="39"/>
      <c r="J20" s="39"/>
    </row>
    <row r="21" spans="1:10" x14ac:dyDescent="0.25">
      <c r="A21" s="98" t="s">
        <v>10</v>
      </c>
      <c r="B21" s="99"/>
      <c r="C21" s="99"/>
      <c r="D21" s="99"/>
      <c r="E21" s="99"/>
      <c r="F21" s="37">
        <v>0</v>
      </c>
      <c r="G21" s="37">
        <v>0</v>
      </c>
      <c r="H21" s="37">
        <v>0</v>
      </c>
      <c r="I21" s="37">
        <v>0</v>
      </c>
      <c r="J21" s="37">
        <v>0</v>
      </c>
    </row>
    <row r="22" spans="1:10" ht="18" x14ac:dyDescent="0.25">
      <c r="A22" s="27"/>
      <c r="B22" s="28"/>
      <c r="C22" s="28"/>
      <c r="D22" s="28"/>
      <c r="E22" s="28"/>
      <c r="F22" s="28"/>
      <c r="G22" s="28"/>
      <c r="H22" s="29"/>
      <c r="I22" s="29"/>
      <c r="J22" s="29"/>
    </row>
    <row r="23" spans="1:10" ht="18" customHeight="1" x14ac:dyDescent="0.25">
      <c r="A23" s="100" t="s">
        <v>69</v>
      </c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8" x14ac:dyDescent="0.25">
      <c r="A24" s="27"/>
      <c r="B24" s="28"/>
      <c r="C24" s="28"/>
      <c r="D24" s="28"/>
      <c r="E24" s="28"/>
      <c r="F24" s="28"/>
      <c r="G24" s="28"/>
      <c r="H24" s="29"/>
      <c r="I24" s="29"/>
      <c r="J24" s="29"/>
    </row>
    <row r="25" spans="1:10" ht="25.5" x14ac:dyDescent="0.25">
      <c r="A25" s="33"/>
      <c r="B25" s="34"/>
      <c r="C25" s="34"/>
      <c r="D25" s="35"/>
      <c r="E25" s="36"/>
      <c r="F25" s="4" t="s">
        <v>12</v>
      </c>
      <c r="G25" s="4" t="s">
        <v>13</v>
      </c>
      <c r="H25" s="4" t="s">
        <v>60</v>
      </c>
      <c r="I25" s="4" t="s">
        <v>61</v>
      </c>
      <c r="J25" s="4" t="s">
        <v>62</v>
      </c>
    </row>
    <row r="26" spans="1:10" x14ac:dyDescent="0.25">
      <c r="A26" s="102" t="s">
        <v>57</v>
      </c>
      <c r="B26" s="103"/>
      <c r="C26" s="103"/>
      <c r="D26" s="103"/>
      <c r="E26" s="104"/>
      <c r="F26" s="41">
        <f>50138.02/7.5345</f>
        <v>6654.4588227486884</v>
      </c>
      <c r="G26" s="41">
        <f>122546/7.5345</f>
        <v>16264.649279978763</v>
      </c>
      <c r="H26" s="41">
        <f>159925/7.5345</f>
        <v>21225.695135709069</v>
      </c>
      <c r="I26" s="41"/>
      <c r="J26" s="42"/>
    </row>
    <row r="27" spans="1:10" ht="30" customHeight="1" x14ac:dyDescent="0.25">
      <c r="A27" s="105" t="s">
        <v>7</v>
      </c>
      <c r="B27" s="106"/>
      <c r="C27" s="106"/>
      <c r="D27" s="106"/>
      <c r="E27" s="107"/>
      <c r="F27" s="43">
        <f>+F26</f>
        <v>6654.4588227486884</v>
      </c>
      <c r="G27" s="43">
        <f t="shared" ref="G27:H27" si="3">+G26</f>
        <v>16264.649279978763</v>
      </c>
      <c r="H27" s="43">
        <f t="shared" si="3"/>
        <v>21225.695135709069</v>
      </c>
      <c r="I27" s="43"/>
      <c r="J27" s="40"/>
    </row>
    <row r="30" spans="1:10" x14ac:dyDescent="0.25">
      <c r="A30" s="108" t="s">
        <v>11</v>
      </c>
      <c r="B30" s="109"/>
      <c r="C30" s="109"/>
      <c r="D30" s="109"/>
      <c r="E30" s="109"/>
      <c r="F30" s="39">
        <v>0</v>
      </c>
      <c r="G30" s="39">
        <v>0</v>
      </c>
      <c r="H30" s="39">
        <v>0</v>
      </c>
      <c r="I30" s="39">
        <v>0</v>
      </c>
      <c r="J30" s="39">
        <v>0</v>
      </c>
    </row>
    <row r="31" spans="1:10" ht="11.25" customHeight="1" x14ac:dyDescent="0.3">
      <c r="A31" s="22"/>
      <c r="B31" s="23"/>
      <c r="C31" s="23"/>
      <c r="D31" s="23"/>
      <c r="E31" s="23"/>
      <c r="F31" s="24"/>
      <c r="G31" s="24"/>
      <c r="H31" s="24"/>
      <c r="I31" s="24"/>
      <c r="J31" s="24"/>
    </row>
    <row r="32" spans="1:10" ht="29.25" customHeight="1" x14ac:dyDescent="0.25">
      <c r="A32" s="96" t="s">
        <v>70</v>
      </c>
      <c r="B32" s="97"/>
      <c r="C32" s="97"/>
      <c r="D32" s="97"/>
      <c r="E32" s="97"/>
      <c r="F32" s="97"/>
      <c r="G32" s="97"/>
      <c r="H32" s="97"/>
      <c r="I32" s="97"/>
      <c r="J32" s="97"/>
    </row>
    <row r="33" spans="1:11" ht="8.25" customHeight="1" x14ac:dyDescent="0.3"/>
    <row r="34" spans="1:11" x14ac:dyDescent="0.25">
      <c r="A34" s="96" t="s">
        <v>58</v>
      </c>
      <c r="B34" s="97"/>
      <c r="C34" s="97"/>
      <c r="D34" s="97"/>
      <c r="E34" s="97"/>
      <c r="F34" s="97"/>
      <c r="G34" s="97"/>
      <c r="H34" s="97"/>
      <c r="I34" s="97"/>
      <c r="J34" s="97"/>
    </row>
    <row r="35" spans="1:11" ht="8.25" customHeight="1" x14ac:dyDescent="0.3"/>
    <row r="36" spans="1:11" ht="29.25" customHeight="1" x14ac:dyDescent="0.25">
      <c r="A36" s="96" t="s">
        <v>59</v>
      </c>
      <c r="B36" s="97"/>
      <c r="C36" s="97"/>
      <c r="D36" s="97"/>
      <c r="E36" s="97"/>
      <c r="F36" s="97"/>
      <c r="G36" s="97"/>
      <c r="H36" s="97"/>
      <c r="I36" s="97"/>
      <c r="J36" s="97"/>
    </row>
    <row r="38" spans="1:11" ht="15.75" x14ac:dyDescent="0.25">
      <c r="A38" s="153" t="s">
        <v>126</v>
      </c>
      <c r="E38" s="154"/>
      <c r="I38" s="156" t="s">
        <v>127</v>
      </c>
      <c r="J38" s="156"/>
      <c r="K38" s="156"/>
    </row>
    <row r="39" spans="1:11" ht="15.75" x14ac:dyDescent="0.25">
      <c r="A39" s="153" t="s">
        <v>124</v>
      </c>
      <c r="E39" s="154"/>
      <c r="I39" s="157" t="s">
        <v>128</v>
      </c>
      <c r="J39" s="157"/>
      <c r="K39" s="157"/>
    </row>
    <row r="40" spans="1:11" ht="15.75" x14ac:dyDescent="0.25">
      <c r="A40" s="155" t="s">
        <v>125</v>
      </c>
      <c r="B40" s="61"/>
      <c r="C40" s="61"/>
      <c r="D40" s="61"/>
      <c r="E40" s="154"/>
    </row>
  </sheetData>
  <mergeCells count="22">
    <mergeCell ref="I38:K38"/>
    <mergeCell ref="I39:K39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4:J34"/>
    <mergeCell ref="A36:J36"/>
    <mergeCell ref="A21:E21"/>
    <mergeCell ref="A23:J23"/>
    <mergeCell ref="A26:E26"/>
    <mergeCell ref="A27:E27"/>
    <mergeCell ref="A30:E30"/>
    <mergeCell ref="A32:J32"/>
  </mergeCells>
  <pageMargins left="0.7" right="0.7" top="0.75" bottom="0.75" header="0.3" footer="0.3"/>
  <pageSetup paperSize="9" scale="6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opLeftCell="A22" zoomScale="90" zoomScaleNormal="90" workbookViewId="0">
      <selection activeCell="A38" sqref="A38:K40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0" t="s">
        <v>67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00" t="s">
        <v>37</v>
      </c>
      <c r="B3" s="100"/>
      <c r="C3" s="100"/>
      <c r="D3" s="100"/>
      <c r="E3" s="100"/>
      <c r="F3" s="100"/>
      <c r="G3" s="100"/>
      <c r="H3" s="100"/>
      <c r="I3" s="111"/>
      <c r="J3" s="111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00" t="s">
        <v>53</v>
      </c>
      <c r="B5" s="101"/>
      <c r="C5" s="101"/>
      <c r="D5" s="101"/>
      <c r="E5" s="101"/>
      <c r="F5" s="101"/>
      <c r="G5" s="101"/>
      <c r="H5" s="101"/>
      <c r="I5" s="101"/>
      <c r="J5" s="101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4" t="s">
        <v>121</v>
      </c>
    </row>
    <row r="7" spans="1:10" ht="25.5" x14ac:dyDescent="0.25">
      <c r="A7" s="33"/>
      <c r="B7" s="34"/>
      <c r="C7" s="34"/>
      <c r="D7" s="35"/>
      <c r="E7" s="36"/>
      <c r="F7" s="4" t="s">
        <v>55</v>
      </c>
      <c r="G7" s="4" t="s">
        <v>56</v>
      </c>
      <c r="H7" s="4" t="s">
        <v>60</v>
      </c>
      <c r="I7" s="4" t="s">
        <v>61</v>
      </c>
      <c r="J7" s="4" t="s">
        <v>62</v>
      </c>
    </row>
    <row r="8" spans="1:10" x14ac:dyDescent="0.25">
      <c r="A8" s="112" t="s">
        <v>0</v>
      </c>
      <c r="B8" s="99"/>
      <c r="C8" s="99"/>
      <c r="D8" s="99"/>
      <c r="E8" s="113"/>
      <c r="F8" s="37">
        <f>SUM(F9:F10)</f>
        <v>5634736.54</v>
      </c>
      <c r="G8" s="37">
        <f t="shared" ref="G8:J8" si="0">SUM(G9:G10)</f>
        <v>6892157</v>
      </c>
      <c r="H8" s="37">
        <f t="shared" si="0"/>
        <v>6841301.0699999994</v>
      </c>
      <c r="I8" s="37">
        <f t="shared" si="0"/>
        <v>5554621.7699999996</v>
      </c>
      <c r="J8" s="37">
        <f t="shared" si="0"/>
        <v>5554621.7699999996</v>
      </c>
    </row>
    <row r="9" spans="1:10" x14ac:dyDescent="0.25">
      <c r="A9" s="110" t="s">
        <v>1</v>
      </c>
      <c r="B9" s="109"/>
      <c r="C9" s="109"/>
      <c r="D9" s="109"/>
      <c r="E9" s="114"/>
      <c r="F9" s="38">
        <v>5634736.54</v>
      </c>
      <c r="G9" s="38">
        <v>6811657</v>
      </c>
      <c r="H9" s="38">
        <f>6838814.68+2486.39</f>
        <v>6841301.0699999994</v>
      </c>
      <c r="I9" s="38">
        <v>5554621.7699999996</v>
      </c>
      <c r="J9" s="38">
        <v>5554621.7699999996</v>
      </c>
    </row>
    <row r="10" spans="1:10" x14ac:dyDescent="0.25">
      <c r="A10" s="115" t="s">
        <v>2</v>
      </c>
      <c r="B10" s="114"/>
      <c r="C10" s="114"/>
      <c r="D10" s="114"/>
      <c r="E10" s="114"/>
      <c r="F10" s="38">
        <v>0</v>
      </c>
      <c r="G10" s="38">
        <v>80500</v>
      </c>
      <c r="H10" s="38">
        <v>0</v>
      </c>
      <c r="I10" s="38">
        <v>0</v>
      </c>
      <c r="J10" s="38">
        <v>0</v>
      </c>
    </row>
    <row r="11" spans="1:10" x14ac:dyDescent="0.25">
      <c r="A11" s="45" t="s">
        <v>3</v>
      </c>
      <c r="B11" s="46"/>
      <c r="C11" s="46"/>
      <c r="D11" s="46"/>
      <c r="E11" s="46"/>
      <c r="F11" s="37">
        <f>SUM(F12:F13)</f>
        <v>5590000.71</v>
      </c>
      <c r="G11" s="37">
        <f t="shared" ref="G11:J11" si="1">SUM(G12:G13)</f>
        <v>7014703</v>
      </c>
      <c r="H11" s="37">
        <f t="shared" si="1"/>
        <v>7001226.3699999992</v>
      </c>
      <c r="I11" s="37">
        <f t="shared" si="1"/>
        <v>5554621.7699999996</v>
      </c>
      <c r="J11" s="37">
        <f t="shared" si="1"/>
        <v>5554621.7699999996</v>
      </c>
    </row>
    <row r="12" spans="1:10" ht="14.45" x14ac:dyDescent="0.3">
      <c r="A12" s="108" t="s">
        <v>4</v>
      </c>
      <c r="B12" s="109"/>
      <c r="C12" s="109"/>
      <c r="D12" s="109"/>
      <c r="E12" s="109"/>
      <c r="F12" s="38">
        <v>5558630.9699999997</v>
      </c>
      <c r="G12" s="38">
        <v>5738980</v>
      </c>
      <c r="H12" s="38">
        <v>5836726.1399999997</v>
      </c>
      <c r="I12" s="38">
        <v>5552361.4199999999</v>
      </c>
      <c r="J12" s="38">
        <v>5552361.4199999999</v>
      </c>
    </row>
    <row r="13" spans="1:10" ht="14.45" x14ac:dyDescent="0.3">
      <c r="A13" s="116" t="s">
        <v>5</v>
      </c>
      <c r="B13" s="114"/>
      <c r="C13" s="114"/>
      <c r="D13" s="114"/>
      <c r="E13" s="114"/>
      <c r="F13" s="39">
        <v>31369.74</v>
      </c>
      <c r="G13" s="39">
        <v>1275723</v>
      </c>
      <c r="H13" s="39">
        <f>12055.2+1002088.5+37866.44+110003.7+2486.39</f>
        <v>1164500.2299999997</v>
      </c>
      <c r="I13" s="39">
        <v>2260.35</v>
      </c>
      <c r="J13" s="39">
        <v>2260.35</v>
      </c>
    </row>
    <row r="14" spans="1:10" x14ac:dyDescent="0.25">
      <c r="A14" s="98" t="s">
        <v>6</v>
      </c>
      <c r="B14" s="99"/>
      <c r="C14" s="99"/>
      <c r="D14" s="99"/>
      <c r="E14" s="99"/>
      <c r="F14" s="37">
        <f>+F8-F11</f>
        <v>44735.830000000075</v>
      </c>
      <c r="G14" s="37">
        <f t="shared" ref="G14:I14" si="2">+G8-G11</f>
        <v>-122546</v>
      </c>
      <c r="H14" s="37">
        <f t="shared" si="2"/>
        <v>-159925.29999999981</v>
      </c>
      <c r="I14" s="37">
        <f t="shared" si="2"/>
        <v>0</v>
      </c>
      <c r="J14" s="37">
        <f t="shared" ref="J14" si="3">+J8-J11</f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100" t="s">
        <v>54</v>
      </c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ht="18" x14ac:dyDescent="0.25">
      <c r="A17" s="30"/>
      <c r="B17" s="28"/>
      <c r="C17" s="28"/>
      <c r="D17" s="28"/>
      <c r="E17" s="28"/>
      <c r="F17" s="28"/>
      <c r="G17" s="28"/>
      <c r="H17" s="29"/>
      <c r="I17" s="29"/>
      <c r="J17" s="29"/>
    </row>
    <row r="18" spans="1:10" ht="25.5" x14ac:dyDescent="0.25">
      <c r="A18" s="33"/>
      <c r="B18" s="34"/>
      <c r="C18" s="34"/>
      <c r="D18" s="35"/>
      <c r="E18" s="36"/>
      <c r="F18" s="4" t="s">
        <v>12</v>
      </c>
      <c r="G18" s="4" t="s">
        <v>13</v>
      </c>
      <c r="H18" s="4" t="s">
        <v>60</v>
      </c>
      <c r="I18" s="4" t="s">
        <v>61</v>
      </c>
      <c r="J18" s="4" t="s">
        <v>62</v>
      </c>
    </row>
    <row r="19" spans="1:10" ht="15.75" customHeight="1" x14ac:dyDescent="0.25">
      <c r="A19" s="110" t="s">
        <v>8</v>
      </c>
      <c r="B19" s="117"/>
      <c r="C19" s="117"/>
      <c r="D19" s="117"/>
      <c r="E19" s="118"/>
      <c r="F19" s="39">
        <v>0</v>
      </c>
      <c r="G19" s="39">
        <v>0</v>
      </c>
      <c r="H19" s="39">
        <v>0</v>
      </c>
      <c r="I19" s="39">
        <v>0</v>
      </c>
      <c r="J19" s="39">
        <v>0</v>
      </c>
    </row>
    <row r="20" spans="1:10" x14ac:dyDescent="0.25">
      <c r="A20" s="110" t="s">
        <v>9</v>
      </c>
      <c r="B20" s="109"/>
      <c r="C20" s="109"/>
      <c r="D20" s="109"/>
      <c r="E20" s="109"/>
      <c r="F20" s="39">
        <v>0</v>
      </c>
      <c r="G20" s="39">
        <v>0</v>
      </c>
      <c r="H20" s="39">
        <v>0</v>
      </c>
      <c r="I20" s="39">
        <v>0</v>
      </c>
      <c r="J20" s="39">
        <v>0</v>
      </c>
    </row>
    <row r="21" spans="1:10" x14ac:dyDescent="0.25">
      <c r="A21" s="98" t="s">
        <v>10</v>
      </c>
      <c r="B21" s="99"/>
      <c r="C21" s="99"/>
      <c r="D21" s="99"/>
      <c r="E21" s="99"/>
      <c r="F21" s="37">
        <v>0</v>
      </c>
      <c r="G21" s="37">
        <v>0</v>
      </c>
      <c r="H21" s="37">
        <v>0</v>
      </c>
      <c r="I21" s="37">
        <v>0</v>
      </c>
      <c r="J21" s="37">
        <v>0</v>
      </c>
    </row>
    <row r="22" spans="1:10" ht="18" x14ac:dyDescent="0.25">
      <c r="A22" s="27"/>
      <c r="B22" s="28"/>
      <c r="C22" s="28"/>
      <c r="D22" s="28"/>
      <c r="E22" s="28"/>
      <c r="F22" s="28"/>
      <c r="G22" s="28"/>
      <c r="H22" s="29"/>
      <c r="I22" s="29"/>
      <c r="J22" s="29"/>
    </row>
    <row r="23" spans="1:10" ht="18" customHeight="1" x14ac:dyDescent="0.25">
      <c r="A23" s="100" t="s">
        <v>69</v>
      </c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8" x14ac:dyDescent="0.25">
      <c r="A24" s="27"/>
      <c r="B24" s="28"/>
      <c r="C24" s="28"/>
      <c r="D24" s="28"/>
      <c r="E24" s="28"/>
      <c r="F24" s="28"/>
      <c r="G24" s="28"/>
      <c r="H24" s="29"/>
      <c r="I24" s="29"/>
      <c r="J24" s="29"/>
    </row>
    <row r="25" spans="1:10" ht="25.5" x14ac:dyDescent="0.25">
      <c r="A25" s="33"/>
      <c r="B25" s="34"/>
      <c r="C25" s="34"/>
      <c r="D25" s="35"/>
      <c r="E25" s="36"/>
      <c r="F25" s="4" t="s">
        <v>12</v>
      </c>
      <c r="G25" s="4" t="s">
        <v>13</v>
      </c>
      <c r="H25" s="4" t="s">
        <v>60</v>
      </c>
      <c r="I25" s="4" t="s">
        <v>61</v>
      </c>
      <c r="J25" s="4" t="s">
        <v>62</v>
      </c>
    </row>
    <row r="26" spans="1:10" x14ac:dyDescent="0.25">
      <c r="A26" s="102" t="s">
        <v>57</v>
      </c>
      <c r="B26" s="103"/>
      <c r="C26" s="103"/>
      <c r="D26" s="103"/>
      <c r="E26" s="104"/>
      <c r="F26" s="41">
        <v>50138.02</v>
      </c>
      <c r="G26" s="41">
        <v>122546</v>
      </c>
      <c r="H26" s="41">
        <v>159925</v>
      </c>
      <c r="I26" s="41">
        <v>0</v>
      </c>
      <c r="J26" s="42">
        <v>0</v>
      </c>
    </row>
    <row r="27" spans="1:10" ht="30" customHeight="1" x14ac:dyDescent="0.25">
      <c r="A27" s="105" t="s">
        <v>7</v>
      </c>
      <c r="B27" s="106"/>
      <c r="C27" s="106"/>
      <c r="D27" s="106"/>
      <c r="E27" s="107"/>
      <c r="F27" s="43">
        <v>50138</v>
      </c>
      <c r="G27" s="43">
        <v>122546</v>
      </c>
      <c r="H27" s="43">
        <v>159925</v>
      </c>
      <c r="I27" s="43">
        <v>0</v>
      </c>
      <c r="J27" s="40">
        <v>0</v>
      </c>
    </row>
    <row r="30" spans="1:10" x14ac:dyDescent="0.25">
      <c r="A30" s="108" t="s">
        <v>11</v>
      </c>
      <c r="B30" s="109"/>
      <c r="C30" s="109"/>
      <c r="D30" s="109"/>
      <c r="E30" s="109"/>
      <c r="F30" s="39">
        <v>0</v>
      </c>
      <c r="G30" s="39">
        <v>0</v>
      </c>
      <c r="H30" s="39">
        <v>0</v>
      </c>
      <c r="I30" s="39">
        <v>0</v>
      </c>
      <c r="J30" s="39">
        <v>0</v>
      </c>
    </row>
    <row r="31" spans="1:10" ht="11.25" customHeight="1" x14ac:dyDescent="0.3">
      <c r="A31" s="22"/>
      <c r="B31" s="23"/>
      <c r="C31" s="23"/>
      <c r="D31" s="23"/>
      <c r="E31" s="23"/>
      <c r="F31" s="24"/>
      <c r="G31" s="24"/>
      <c r="H31" s="24"/>
      <c r="I31" s="24"/>
      <c r="J31" s="24"/>
    </row>
    <row r="32" spans="1:10" ht="29.25" customHeight="1" x14ac:dyDescent="0.3">
      <c r="A32" s="96"/>
      <c r="B32" s="97"/>
      <c r="C32" s="97"/>
      <c r="D32" s="97"/>
      <c r="E32" s="97"/>
      <c r="F32" s="97"/>
      <c r="G32" s="97"/>
      <c r="H32" s="97"/>
      <c r="I32" s="97"/>
      <c r="J32" s="97"/>
    </row>
    <row r="33" spans="1:11" ht="8.25" customHeight="1" x14ac:dyDescent="0.3"/>
    <row r="34" spans="1:11" x14ac:dyDescent="0.25">
      <c r="A34" s="96" t="s">
        <v>58</v>
      </c>
      <c r="B34" s="97"/>
      <c r="C34" s="97"/>
      <c r="D34" s="97"/>
      <c r="E34" s="97"/>
      <c r="F34" s="97"/>
      <c r="G34" s="97"/>
      <c r="H34" s="97"/>
      <c r="I34" s="97"/>
      <c r="J34" s="97"/>
    </row>
    <row r="35" spans="1:11" ht="8.25" customHeight="1" x14ac:dyDescent="0.25"/>
    <row r="36" spans="1:11" ht="29.25" customHeight="1" x14ac:dyDescent="0.25">
      <c r="A36" s="96" t="s">
        <v>59</v>
      </c>
      <c r="B36" s="97"/>
      <c r="C36" s="97"/>
      <c r="D36" s="97"/>
      <c r="E36" s="97"/>
      <c r="F36" s="97"/>
      <c r="G36" s="97"/>
      <c r="H36" s="97"/>
      <c r="I36" s="97"/>
      <c r="J36" s="97"/>
    </row>
    <row r="38" spans="1:11" ht="15.75" x14ac:dyDescent="0.25">
      <c r="A38" s="153" t="s">
        <v>126</v>
      </c>
      <c r="E38" s="154"/>
      <c r="I38" s="156" t="s">
        <v>127</v>
      </c>
      <c r="J38" s="156"/>
      <c r="K38" s="156"/>
    </row>
    <row r="39" spans="1:11" ht="15.75" x14ac:dyDescent="0.25">
      <c r="A39" s="153" t="s">
        <v>129</v>
      </c>
      <c r="E39" s="154"/>
      <c r="I39" s="157" t="s">
        <v>128</v>
      </c>
      <c r="J39" s="157"/>
      <c r="K39" s="157"/>
    </row>
    <row r="40" spans="1:11" ht="15.75" x14ac:dyDescent="0.25">
      <c r="A40" s="155" t="s">
        <v>125</v>
      </c>
      <c r="B40" s="61"/>
      <c r="C40" s="61"/>
      <c r="D40" s="61"/>
      <c r="E40" s="154"/>
    </row>
  </sheetData>
  <mergeCells count="22">
    <mergeCell ref="I38:K38"/>
    <mergeCell ref="I39:K39"/>
    <mergeCell ref="A36:J36"/>
    <mergeCell ref="A23:J23"/>
    <mergeCell ref="A32:J32"/>
    <mergeCell ref="A30:E30"/>
    <mergeCell ref="A34:J34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6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B22" workbookViewId="0">
      <selection activeCell="B41" sqref="B41:I4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2" customWidth="1"/>
    <col min="5" max="9" width="22.28515625" customWidth="1"/>
  </cols>
  <sheetData>
    <row r="1" spans="1:9" ht="42" customHeight="1" x14ac:dyDescent="0.25">
      <c r="A1" s="100" t="s">
        <v>67</v>
      </c>
      <c r="B1" s="100"/>
      <c r="C1" s="100"/>
      <c r="D1" s="100"/>
      <c r="E1" s="100"/>
      <c r="F1" s="100"/>
      <c r="G1" s="100"/>
      <c r="H1" s="100"/>
      <c r="I1" s="100"/>
    </row>
    <row r="2" spans="1:9" ht="7.9" customHeight="1" x14ac:dyDescent="0.25">
      <c r="A2" s="30"/>
      <c r="B2" s="30"/>
      <c r="C2" s="30"/>
      <c r="D2" s="30"/>
      <c r="E2" s="30"/>
      <c r="F2" s="30"/>
      <c r="G2" s="30"/>
      <c r="H2" s="30"/>
      <c r="I2" s="30"/>
    </row>
    <row r="3" spans="1:9" ht="15.75" x14ac:dyDescent="0.25">
      <c r="A3" s="100" t="s">
        <v>37</v>
      </c>
      <c r="B3" s="100"/>
      <c r="C3" s="100"/>
      <c r="D3" s="100"/>
      <c r="E3" s="100"/>
      <c r="F3" s="100"/>
      <c r="G3" s="100"/>
      <c r="H3" s="111"/>
      <c r="I3" s="111"/>
    </row>
    <row r="4" spans="1:9" ht="7.15" customHeight="1" x14ac:dyDescent="0.25">
      <c r="A4" s="30"/>
      <c r="B4" s="30"/>
      <c r="C4" s="30"/>
      <c r="D4" s="30"/>
      <c r="E4" s="30"/>
      <c r="F4" s="30"/>
      <c r="G4" s="30"/>
      <c r="H4" s="6"/>
      <c r="I4" s="6"/>
    </row>
    <row r="5" spans="1:9" ht="18" customHeight="1" x14ac:dyDescent="0.25">
      <c r="A5" s="100" t="s">
        <v>15</v>
      </c>
      <c r="B5" s="101"/>
      <c r="C5" s="101"/>
      <c r="D5" s="101"/>
      <c r="E5" s="101"/>
      <c r="F5" s="101"/>
      <c r="G5" s="101"/>
      <c r="H5" s="101"/>
      <c r="I5" s="101"/>
    </row>
    <row r="6" spans="1:9" ht="5.45" customHeight="1" x14ac:dyDescent="0.25">
      <c r="A6" s="30"/>
      <c r="B6" s="30"/>
      <c r="C6" s="30"/>
      <c r="D6" s="30"/>
      <c r="E6" s="30"/>
      <c r="F6" s="30"/>
      <c r="G6" s="30"/>
      <c r="H6" s="6"/>
      <c r="I6" s="6"/>
    </row>
    <row r="7" spans="1:9" ht="15.75" x14ac:dyDescent="0.25">
      <c r="A7" s="100" t="s">
        <v>1</v>
      </c>
      <c r="B7" s="119"/>
      <c r="C7" s="119"/>
      <c r="D7" s="119"/>
      <c r="E7" s="119"/>
      <c r="F7" s="119"/>
      <c r="G7" s="119"/>
      <c r="H7" s="119"/>
      <c r="I7" s="119"/>
    </row>
    <row r="8" spans="1:9" ht="6" customHeight="1" x14ac:dyDescent="0.25">
      <c r="A8" s="30"/>
      <c r="B8" s="30"/>
      <c r="C8" s="30"/>
      <c r="D8" s="30"/>
      <c r="E8" s="30"/>
      <c r="F8" s="30"/>
      <c r="G8" s="30"/>
      <c r="H8" s="6"/>
      <c r="I8" s="6"/>
    </row>
    <row r="9" spans="1:9" ht="25.5" x14ac:dyDescent="0.25">
      <c r="A9" s="26" t="s">
        <v>16</v>
      </c>
      <c r="B9" s="25" t="s">
        <v>17</v>
      </c>
      <c r="C9" s="25" t="s">
        <v>18</v>
      </c>
      <c r="D9" s="25" t="s">
        <v>14</v>
      </c>
      <c r="E9" s="25" t="s">
        <v>12</v>
      </c>
      <c r="F9" s="26" t="s">
        <v>13</v>
      </c>
      <c r="G9" s="26" t="s">
        <v>60</v>
      </c>
      <c r="H9" s="26" t="s">
        <v>61</v>
      </c>
      <c r="I9" s="26" t="s">
        <v>62</v>
      </c>
    </row>
    <row r="10" spans="1:9" ht="15.75" customHeight="1" x14ac:dyDescent="0.25">
      <c r="A10" s="13">
        <v>6</v>
      </c>
      <c r="B10" s="13"/>
      <c r="C10" s="13"/>
      <c r="D10" s="13" t="s">
        <v>19</v>
      </c>
      <c r="E10" s="10">
        <f>+E11+E13+E15</f>
        <v>747858.05826531281</v>
      </c>
      <c r="F10" s="10">
        <f t="shared" ref="F10:I10" si="0">+F11+F13+F15</f>
        <v>904062.2469971464</v>
      </c>
      <c r="G10" s="10">
        <f t="shared" si="0"/>
        <v>907996.69055677205</v>
      </c>
      <c r="H10" s="10">
        <f t="shared" si="0"/>
        <v>737225.00099542097</v>
      </c>
      <c r="I10" s="10">
        <f t="shared" si="0"/>
        <v>737225.00099542097</v>
      </c>
    </row>
    <row r="11" spans="1:9" ht="25.5" x14ac:dyDescent="0.25">
      <c r="A11" s="13"/>
      <c r="B11" s="18">
        <v>63</v>
      </c>
      <c r="C11" s="18"/>
      <c r="D11" s="18" t="s">
        <v>64</v>
      </c>
      <c r="E11" s="10">
        <f>5036205.54/7.5345</f>
        <v>668419.3430220983</v>
      </c>
      <c r="F11" s="11">
        <f>5024353/7.5345</f>
        <v>666846.24062645168</v>
      </c>
      <c r="G11" s="11">
        <f>6196807.46/7.5345</f>
        <v>822457.68929590541</v>
      </c>
      <c r="H11" s="11">
        <f>4910354.2/7.5345</f>
        <v>651715.99973455432</v>
      </c>
      <c r="I11" s="11">
        <f>4910354.2/7.5345</f>
        <v>651715.99973455432</v>
      </c>
    </row>
    <row r="12" spans="1:9" x14ac:dyDescent="0.25">
      <c r="A12" s="14"/>
      <c r="B12" s="14"/>
      <c r="C12" s="15">
        <v>52</v>
      </c>
      <c r="D12" s="15" t="s">
        <v>66</v>
      </c>
      <c r="E12" s="10">
        <f>5036205.54/7.5345</f>
        <v>668419.3430220983</v>
      </c>
      <c r="F12" s="11">
        <f>5024353/7.5345</f>
        <v>666846.24062645168</v>
      </c>
      <c r="G12" s="11">
        <f>6196807.46/7.5345</f>
        <v>822457.68929590541</v>
      </c>
      <c r="H12" s="11">
        <f>4910354.2/7.5345</f>
        <v>651715.99973455432</v>
      </c>
      <c r="I12" s="11">
        <f>4910354.2/7.5345</f>
        <v>651715.99973455432</v>
      </c>
    </row>
    <row r="13" spans="1:9" ht="38.25" x14ac:dyDescent="0.25">
      <c r="A13" s="13"/>
      <c r="B13" s="18">
        <v>66</v>
      </c>
      <c r="C13" s="18"/>
      <c r="D13" s="18" t="s">
        <v>74</v>
      </c>
      <c r="E13" s="10">
        <f>57656/7.5345</f>
        <v>7652.2662419536791</v>
      </c>
      <c r="F13" s="11">
        <f>65000/7.5345</f>
        <v>8626.9825469506923</v>
      </c>
      <c r="G13" s="11">
        <f>48981.79/7.5345</f>
        <v>6501.0007299754461</v>
      </c>
      <c r="H13" s="11">
        <f>51242.14/7.5345</f>
        <v>6801.0007299754461</v>
      </c>
      <c r="I13" s="11">
        <f>51242.14/7.5345</f>
        <v>6801.0007299754461</v>
      </c>
    </row>
    <row r="14" spans="1:9" ht="14.45" x14ac:dyDescent="0.3">
      <c r="A14" s="14"/>
      <c r="B14" s="14"/>
      <c r="C14" s="15">
        <v>31</v>
      </c>
      <c r="D14" s="15" t="s">
        <v>44</v>
      </c>
      <c r="E14" s="10">
        <v>7652</v>
      </c>
      <c r="F14" s="11">
        <v>8627</v>
      </c>
      <c r="G14" s="11">
        <v>6501</v>
      </c>
      <c r="H14" s="11">
        <v>6801</v>
      </c>
      <c r="I14" s="11">
        <v>6801</v>
      </c>
    </row>
    <row r="15" spans="1:9" ht="25.5" x14ac:dyDescent="0.25">
      <c r="A15" s="14"/>
      <c r="B15" s="14">
        <v>67</v>
      </c>
      <c r="C15" s="15"/>
      <c r="D15" s="18" t="s">
        <v>65</v>
      </c>
      <c r="E15" s="10">
        <f>540875/7.5345</f>
        <v>71786.449001260858</v>
      </c>
      <c r="F15" s="11">
        <f>1722304/7.5345</f>
        <v>228589.02382374409</v>
      </c>
      <c r="G15" s="11">
        <f>593025.43/7.5345+330</f>
        <v>79038.000530891237</v>
      </c>
      <c r="H15" s="11">
        <f>593025.43/7.5345</f>
        <v>78708.000530891237</v>
      </c>
      <c r="I15" s="11">
        <f>593025.43/7.5345</f>
        <v>78708.000530891237</v>
      </c>
    </row>
    <row r="16" spans="1:9" x14ac:dyDescent="0.25">
      <c r="A16" s="14"/>
      <c r="B16" s="14"/>
      <c r="C16" s="15">
        <v>11</v>
      </c>
      <c r="D16" s="15" t="s">
        <v>20</v>
      </c>
      <c r="E16" s="10">
        <f>540875/7.5345</f>
        <v>71786.449001260858</v>
      </c>
      <c r="F16" s="11">
        <f>1722304/7.5345</f>
        <v>228589.02382374409</v>
      </c>
      <c r="G16" s="11">
        <f>593025.43/7.5345+330</f>
        <v>79038.000530891237</v>
      </c>
      <c r="H16" s="11">
        <f>593025.43/7.5345</f>
        <v>78708.000530891237</v>
      </c>
      <c r="I16" s="11">
        <f>593025.43/7.5345</f>
        <v>78708.000530891237</v>
      </c>
    </row>
    <row r="17" spans="1:9" ht="25.5" x14ac:dyDescent="0.25">
      <c r="A17" s="16">
        <v>7</v>
      </c>
      <c r="B17" s="17"/>
      <c r="C17" s="17"/>
      <c r="D17" s="31" t="s">
        <v>21</v>
      </c>
      <c r="E17" s="10">
        <f>+E18</f>
        <v>0</v>
      </c>
      <c r="F17" s="10">
        <f t="shared" ref="F17:I17" si="1">+F18</f>
        <v>10684.186077377397</v>
      </c>
      <c r="G17" s="10">
        <f t="shared" si="1"/>
        <v>0</v>
      </c>
      <c r="H17" s="10">
        <f t="shared" si="1"/>
        <v>0</v>
      </c>
      <c r="I17" s="10">
        <f t="shared" si="1"/>
        <v>0</v>
      </c>
    </row>
    <row r="18" spans="1:9" ht="26.45" x14ac:dyDescent="0.3">
      <c r="A18" s="18"/>
      <c r="B18" s="18">
        <v>72</v>
      </c>
      <c r="C18" s="18"/>
      <c r="D18" s="32" t="s">
        <v>63</v>
      </c>
      <c r="E18" s="10">
        <v>0</v>
      </c>
      <c r="F18" s="11">
        <f>80500/7.5345</f>
        <v>10684.186077377397</v>
      </c>
      <c r="G18" s="11">
        <v>0</v>
      </c>
      <c r="H18" s="11">
        <v>0</v>
      </c>
      <c r="I18" s="12">
        <v>0</v>
      </c>
    </row>
    <row r="19" spans="1:9" ht="14.45" x14ac:dyDescent="0.3">
      <c r="A19" s="18"/>
      <c r="B19" s="18"/>
      <c r="C19" s="15">
        <v>31</v>
      </c>
      <c r="D19" s="15" t="s">
        <v>44</v>
      </c>
      <c r="E19" s="10">
        <v>0</v>
      </c>
      <c r="F19" s="11">
        <v>10684</v>
      </c>
      <c r="G19" s="11">
        <v>0</v>
      </c>
      <c r="H19" s="11">
        <v>0</v>
      </c>
      <c r="I19" s="12">
        <v>0</v>
      </c>
    </row>
    <row r="20" spans="1:9" ht="7.15" customHeight="1" x14ac:dyDescent="0.3"/>
    <row r="21" spans="1:9" ht="15.75" x14ac:dyDescent="0.25">
      <c r="A21" s="100" t="s">
        <v>22</v>
      </c>
      <c r="B21" s="119"/>
      <c r="C21" s="119"/>
      <c r="D21" s="119"/>
      <c r="E21" s="119"/>
      <c r="F21" s="119"/>
      <c r="G21" s="119"/>
      <c r="H21" s="119"/>
      <c r="I21" s="119"/>
    </row>
    <row r="22" spans="1:9" ht="6" customHeight="1" x14ac:dyDescent="0.25">
      <c r="A22" s="30"/>
      <c r="B22" s="30"/>
      <c r="C22" s="30"/>
      <c r="D22" s="30"/>
      <c r="E22" s="30"/>
      <c r="F22" s="30"/>
      <c r="G22" s="30"/>
      <c r="H22" s="6"/>
      <c r="I22" s="6"/>
    </row>
    <row r="23" spans="1:9" ht="25.5" x14ac:dyDescent="0.25">
      <c r="A23" s="26" t="s">
        <v>16</v>
      </c>
      <c r="B23" s="25" t="s">
        <v>17</v>
      </c>
      <c r="C23" s="25" t="s">
        <v>18</v>
      </c>
      <c r="D23" s="25" t="s">
        <v>23</v>
      </c>
      <c r="E23" s="25" t="s">
        <v>12</v>
      </c>
      <c r="F23" s="26" t="s">
        <v>13</v>
      </c>
      <c r="G23" s="26" t="s">
        <v>60</v>
      </c>
      <c r="H23" s="26" t="s">
        <v>61</v>
      </c>
      <c r="I23" s="26" t="s">
        <v>62</v>
      </c>
    </row>
    <row r="24" spans="1:9" ht="15.75" customHeight="1" x14ac:dyDescent="0.25">
      <c r="A24" s="13">
        <v>3</v>
      </c>
      <c r="B24" s="13"/>
      <c r="C24" s="13"/>
      <c r="D24" s="13" t="s">
        <v>24</v>
      </c>
      <c r="E24" s="10">
        <f>+E25+E28+E32</f>
        <v>737757.11327891692</v>
      </c>
      <c r="F24" s="10">
        <f>+F25+F28+F32</f>
        <v>761693.54303537065</v>
      </c>
      <c r="G24" s="10">
        <f>+G25+G28+G32</f>
        <v>774667.07341628498</v>
      </c>
      <c r="H24" s="10">
        <f>+H25+H28+H32</f>
        <v>736925.00099542108</v>
      </c>
      <c r="I24" s="10">
        <f>+I25+I28+I32</f>
        <v>736925.00099542108</v>
      </c>
    </row>
    <row r="25" spans="1:9" ht="15.75" customHeight="1" x14ac:dyDescent="0.25">
      <c r="A25" s="13"/>
      <c r="B25" s="18">
        <v>31</v>
      </c>
      <c r="C25" s="18"/>
      <c r="D25" s="18" t="s">
        <v>25</v>
      </c>
      <c r="E25" s="10">
        <f>4823676.36/7.5345</f>
        <v>640211.87338244077</v>
      </c>
      <c r="F25" s="11">
        <f>(4637330+229100+4678+18901)/7.5345</f>
        <v>649015.72765279713</v>
      </c>
      <c r="G25" s="11">
        <f>+(4887780.84+215336.01)/7.5345</f>
        <v>677299.99999999988</v>
      </c>
      <c r="H25" s="11">
        <f>+(4887780.84)/7.5345</f>
        <v>648720</v>
      </c>
      <c r="I25" s="11">
        <f>+(4887780.84)/7.5345</f>
        <v>648720</v>
      </c>
    </row>
    <row r="26" spans="1:9" x14ac:dyDescent="0.25">
      <c r="A26" s="14"/>
      <c r="B26" s="14"/>
      <c r="C26" s="15">
        <v>11</v>
      </c>
      <c r="D26" s="15" t="s">
        <v>20</v>
      </c>
      <c r="E26" s="10">
        <f>3012.1+432.41</f>
        <v>3444.5099999999998</v>
      </c>
      <c r="F26" s="11">
        <v>620.88</v>
      </c>
      <c r="G26" s="11">
        <v>0</v>
      </c>
      <c r="H26" s="11">
        <v>0</v>
      </c>
      <c r="I26" s="11">
        <v>0</v>
      </c>
    </row>
    <row r="27" spans="1:9" x14ac:dyDescent="0.25">
      <c r="A27" s="14"/>
      <c r="B27" s="14"/>
      <c r="C27" s="15">
        <v>52</v>
      </c>
      <c r="D27" s="15" t="s">
        <v>66</v>
      </c>
      <c r="E27" s="10">
        <f>609269.77+27021.56+476.03</f>
        <v>636767.3600000001</v>
      </c>
      <c r="F27" s="11">
        <v>648395</v>
      </c>
      <c r="G27" s="11">
        <v>677300</v>
      </c>
      <c r="H27" s="11">
        <v>648720</v>
      </c>
      <c r="I27" s="11">
        <v>648720</v>
      </c>
    </row>
    <row r="28" spans="1:9" ht="14.45" x14ac:dyDescent="0.3">
      <c r="A28" s="14"/>
      <c r="B28" s="14">
        <v>32</v>
      </c>
      <c r="C28" s="15"/>
      <c r="D28" s="14" t="s">
        <v>40</v>
      </c>
      <c r="E28" s="10">
        <f>689847.79/7.5345</f>
        <v>91558.536067423192</v>
      </c>
      <c r="F28" s="11">
        <f>+(304489+275539+65000+29380+22570+766+51000+73845+10000+155+627)/7.5345</f>
        <v>110607.33957130532</v>
      </c>
      <c r="G28" s="11">
        <f>+(306360.3+275536.67+48984.79+22573.36+3013.8+65261.46+9998.28)/7.5345-0.01</f>
        <v>97117.072752671054</v>
      </c>
      <c r="H28" s="11">
        <f>+(306360.3+275536.67+48981.79+22573.36+9998.28)/7.5345</f>
        <v>88055.000331807023</v>
      </c>
      <c r="I28" s="11">
        <f>+(306360.3+275536.67+48981.79+22573.36+9998.28)/7.5345</f>
        <v>88055.000331807023</v>
      </c>
    </row>
    <row r="29" spans="1:9" x14ac:dyDescent="0.25">
      <c r="A29" s="14"/>
      <c r="B29" s="14"/>
      <c r="C29" s="15">
        <v>11</v>
      </c>
      <c r="D29" s="15" t="s">
        <v>20</v>
      </c>
      <c r="E29" s="10">
        <f>39380.65+31194.81+138.54+19.93+1</f>
        <v>70734.929999999993</v>
      </c>
      <c r="F29" s="11">
        <f>40412.64+36570.31+2995.55+1327.23+20.57</f>
        <v>81326.3</v>
      </c>
      <c r="G29" s="11">
        <f>40661+36570+2996+1327</f>
        <v>81554</v>
      </c>
      <c r="H29" s="11">
        <f t="shared" ref="H29:I29" si="2">40661+36570+2996+1327</f>
        <v>81554</v>
      </c>
      <c r="I29" s="11">
        <f t="shared" si="2"/>
        <v>81554</v>
      </c>
    </row>
    <row r="30" spans="1:9" ht="14.45" x14ac:dyDescent="0.3">
      <c r="A30" s="14"/>
      <c r="B30" s="14"/>
      <c r="C30" s="15">
        <v>31</v>
      </c>
      <c r="D30" s="15" t="s">
        <v>44</v>
      </c>
      <c r="E30" s="10">
        <f>5334.16+1327.23</f>
        <v>6661.3899999999994</v>
      </c>
      <c r="F30" s="11">
        <v>8626.98</v>
      </c>
      <c r="G30" s="11">
        <v>6501</v>
      </c>
      <c r="H30" s="11">
        <v>6501</v>
      </c>
      <c r="I30" s="11">
        <v>6501</v>
      </c>
    </row>
    <row r="31" spans="1:9" x14ac:dyDescent="0.25">
      <c r="A31" s="14"/>
      <c r="B31" s="14"/>
      <c r="C31" s="15">
        <v>52</v>
      </c>
      <c r="D31" s="15" t="s">
        <v>66</v>
      </c>
      <c r="E31" s="10">
        <f>6557.58+122.04+7208.95+252.7+21.94</f>
        <v>14163.210000000001</v>
      </c>
      <c r="F31" s="11">
        <f>3899.4+101.67+9800.92+83.22+6769</f>
        <v>20654.21</v>
      </c>
      <c r="G31" s="11">
        <f>400+8661.68</f>
        <v>9061.68</v>
      </c>
      <c r="H31" s="11">
        <v>0</v>
      </c>
      <c r="I31" s="11">
        <v>0</v>
      </c>
    </row>
    <row r="32" spans="1:9" ht="14.45" x14ac:dyDescent="0.3">
      <c r="A32" s="14"/>
      <c r="B32" s="14">
        <v>34</v>
      </c>
      <c r="C32" s="15"/>
      <c r="D32" s="14" t="s">
        <v>75</v>
      </c>
      <c r="E32" s="10">
        <f>45106.82/7.5345</f>
        <v>5986.7038290530227</v>
      </c>
      <c r="F32" s="11">
        <f>+(3000+11800+800)/7.5345</f>
        <v>2070.4758112681661</v>
      </c>
      <c r="G32" s="11">
        <f>+(1130.18+753.45)/7.5345</f>
        <v>250.00066361404208</v>
      </c>
      <c r="H32" s="11">
        <f>+(1130.18)/7.5345</f>
        <v>150.00066361404208</v>
      </c>
      <c r="I32" s="11">
        <f>+(1130.18)/7.5345</f>
        <v>150.00066361404208</v>
      </c>
    </row>
    <row r="33" spans="1:9" x14ac:dyDescent="0.25">
      <c r="A33" s="14"/>
      <c r="B33" s="14"/>
      <c r="C33" s="15">
        <v>11</v>
      </c>
      <c r="D33" s="15" t="s">
        <v>20</v>
      </c>
      <c r="E33" s="10">
        <v>561.37</v>
      </c>
      <c r="F33" s="11">
        <v>398.17</v>
      </c>
      <c r="G33" s="11">
        <v>150</v>
      </c>
      <c r="H33" s="11">
        <v>150</v>
      </c>
      <c r="I33" s="11">
        <v>150</v>
      </c>
    </row>
    <row r="34" spans="1:9" x14ac:dyDescent="0.25">
      <c r="A34" s="14"/>
      <c r="B34" s="14"/>
      <c r="C34" s="15">
        <v>52</v>
      </c>
      <c r="D34" s="15" t="s">
        <v>66</v>
      </c>
      <c r="E34" s="10">
        <f>5372.91+52.43+1</f>
        <v>5426.34</v>
      </c>
      <c r="F34" s="11">
        <f>1566.13+106.18</f>
        <v>1672.3100000000002</v>
      </c>
      <c r="G34" s="11">
        <v>100</v>
      </c>
      <c r="H34" s="11">
        <v>0</v>
      </c>
      <c r="I34" s="11">
        <v>0</v>
      </c>
    </row>
    <row r="35" spans="1:9" ht="26.45" x14ac:dyDescent="0.3">
      <c r="A35" s="16">
        <v>4</v>
      </c>
      <c r="B35" s="17"/>
      <c r="C35" s="17"/>
      <c r="D35" s="31" t="s">
        <v>26</v>
      </c>
      <c r="E35" s="10">
        <f>+E36</f>
        <v>4163.4799920366313</v>
      </c>
      <c r="F35" s="10">
        <f t="shared" ref="F35:I35" si="3">+F36</f>
        <v>169317.53931913199</v>
      </c>
      <c r="G35" s="10">
        <f t="shared" si="3"/>
        <v>154555.74026146391</v>
      </c>
      <c r="H35" s="10">
        <f t="shared" si="3"/>
        <v>299.99999999999994</v>
      </c>
      <c r="I35" s="10">
        <f t="shared" si="3"/>
        <v>299.99999999999994</v>
      </c>
    </row>
    <row r="36" spans="1:9" ht="26.45" x14ac:dyDescent="0.3">
      <c r="A36" s="18"/>
      <c r="B36" s="18">
        <v>42</v>
      </c>
      <c r="C36" s="18"/>
      <c r="D36" s="32" t="s">
        <v>68</v>
      </c>
      <c r="E36" s="10">
        <f>31369.74/7.5345</f>
        <v>4163.4799920366313</v>
      </c>
      <c r="F36" s="11">
        <f>+(80500+1073443+121780)/7.5345</f>
        <v>169317.53931913199</v>
      </c>
      <c r="G36" s="11">
        <f>+(12055.2+1002088.5+37866.44+110003.7)/7.5345+330</f>
        <v>154555.74026146391</v>
      </c>
      <c r="H36" s="11">
        <f>2260.35/7.5345</f>
        <v>299.99999999999994</v>
      </c>
      <c r="I36" s="11">
        <f>2260.35/7.5345</f>
        <v>299.99999999999994</v>
      </c>
    </row>
    <row r="37" spans="1:9" x14ac:dyDescent="0.25">
      <c r="A37" s="18"/>
      <c r="B37" s="18"/>
      <c r="C37" s="15">
        <v>11</v>
      </c>
      <c r="D37" s="15" t="s">
        <v>20</v>
      </c>
      <c r="E37" s="10">
        <v>398.17</v>
      </c>
      <c r="F37" s="11">
        <v>0</v>
      </c>
      <c r="G37" s="11">
        <v>330</v>
      </c>
      <c r="H37" s="11">
        <v>0</v>
      </c>
      <c r="I37" s="12">
        <v>0</v>
      </c>
    </row>
    <row r="38" spans="1:9" x14ac:dyDescent="0.25">
      <c r="A38" s="14"/>
      <c r="B38" s="14"/>
      <c r="C38" s="15">
        <v>31</v>
      </c>
      <c r="D38" s="15" t="s">
        <v>44</v>
      </c>
      <c r="E38" s="10">
        <f>1025.18+2308.78</f>
        <v>3333.96</v>
      </c>
      <c r="F38" s="11">
        <f>10684.19+16162.98+1</f>
        <v>26848.17</v>
      </c>
      <c r="G38" s="11">
        <f>1600+14600</f>
        <v>16200</v>
      </c>
      <c r="H38" s="11">
        <v>300</v>
      </c>
      <c r="I38" s="11">
        <v>300</v>
      </c>
    </row>
    <row r="39" spans="1:9" x14ac:dyDescent="0.25">
      <c r="A39" s="14"/>
      <c r="B39" s="14"/>
      <c r="C39" s="15">
        <v>52</v>
      </c>
      <c r="D39" s="15" t="s">
        <v>66</v>
      </c>
      <c r="E39" s="10">
        <v>431.35</v>
      </c>
      <c r="F39" s="11">
        <v>142470.37</v>
      </c>
      <c r="G39" s="11">
        <f>133000+5025.74</f>
        <v>138025.74</v>
      </c>
      <c r="H39" s="11">
        <v>0</v>
      </c>
      <c r="I39" s="11">
        <v>0</v>
      </c>
    </row>
    <row r="41" spans="1:9" ht="15.75" x14ac:dyDescent="0.25">
      <c r="B41" s="153" t="s">
        <v>126</v>
      </c>
      <c r="F41" s="154"/>
      <c r="G41" s="156" t="s">
        <v>127</v>
      </c>
      <c r="H41" s="156"/>
      <c r="I41" s="156"/>
    </row>
    <row r="42" spans="1:9" ht="15.75" x14ac:dyDescent="0.25">
      <c r="B42" s="153" t="s">
        <v>129</v>
      </c>
      <c r="F42" s="154"/>
      <c r="G42" s="157" t="s">
        <v>128</v>
      </c>
      <c r="H42" s="157"/>
      <c r="I42" s="157"/>
    </row>
    <row r="43" spans="1:9" ht="15.75" x14ac:dyDescent="0.25">
      <c r="B43" s="155" t="s">
        <v>125</v>
      </c>
      <c r="C43" s="61"/>
      <c r="D43" s="61"/>
      <c r="E43" s="61"/>
      <c r="F43" s="154"/>
    </row>
  </sheetData>
  <mergeCells count="7">
    <mergeCell ref="G41:I41"/>
    <mergeCell ref="G42:I42"/>
    <mergeCell ref="A1:I1"/>
    <mergeCell ref="A3:I3"/>
    <mergeCell ref="A5:I5"/>
    <mergeCell ref="A7:I7"/>
    <mergeCell ref="A21:I21"/>
  </mergeCells>
  <pageMargins left="0.7" right="0.7" top="0.75" bottom="0.75" header="0.3" footer="0.3"/>
  <pageSetup paperSize="9" scale="52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B1" workbookViewId="0">
      <selection activeCell="E10" sqref="E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00" t="s">
        <v>67</v>
      </c>
      <c r="B1" s="100"/>
      <c r="C1" s="100"/>
      <c r="D1" s="100"/>
      <c r="E1" s="100"/>
      <c r="F1" s="100"/>
      <c r="G1" s="100"/>
      <c r="H1" s="100"/>
      <c r="I1" s="100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00" t="s">
        <v>37</v>
      </c>
      <c r="B3" s="100"/>
      <c r="C3" s="100"/>
      <c r="D3" s="100"/>
      <c r="E3" s="100"/>
      <c r="F3" s="100"/>
      <c r="G3" s="100"/>
      <c r="H3" s="111"/>
      <c r="I3" s="111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00" t="s">
        <v>15</v>
      </c>
      <c r="B5" s="101"/>
      <c r="C5" s="101"/>
      <c r="D5" s="101"/>
      <c r="E5" s="101"/>
      <c r="F5" s="101"/>
      <c r="G5" s="101"/>
      <c r="H5" s="101"/>
      <c r="I5" s="101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100" t="s">
        <v>1</v>
      </c>
      <c r="B7" s="119"/>
      <c r="C7" s="119"/>
      <c r="D7" s="119"/>
      <c r="E7" s="119"/>
      <c r="F7" s="119"/>
      <c r="G7" s="119"/>
      <c r="H7" s="119"/>
      <c r="I7" s="119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26" t="s">
        <v>16</v>
      </c>
      <c r="B9" s="25" t="s">
        <v>17</v>
      </c>
      <c r="C9" s="25" t="s">
        <v>18</v>
      </c>
      <c r="D9" s="25" t="s">
        <v>14</v>
      </c>
      <c r="E9" s="25" t="s">
        <v>12</v>
      </c>
      <c r="F9" s="26" t="s">
        <v>13</v>
      </c>
      <c r="G9" s="26" t="s">
        <v>60</v>
      </c>
      <c r="H9" s="26" t="s">
        <v>61</v>
      </c>
      <c r="I9" s="26" t="s">
        <v>62</v>
      </c>
    </row>
    <row r="10" spans="1:9" ht="15.75" customHeight="1" x14ac:dyDescent="0.25">
      <c r="A10" s="13">
        <v>6</v>
      </c>
      <c r="B10" s="13"/>
      <c r="C10" s="13"/>
      <c r="D10" s="13" t="s">
        <v>19</v>
      </c>
      <c r="E10" s="10">
        <f>+E11+E13+E15</f>
        <v>5634736.54</v>
      </c>
      <c r="F10" s="10">
        <f t="shared" ref="F10:I10" si="0">+F11+F13+F15</f>
        <v>6811657</v>
      </c>
      <c r="G10" s="10">
        <f t="shared" si="0"/>
        <v>6838814.6799999997</v>
      </c>
      <c r="H10" s="10">
        <f t="shared" si="0"/>
        <v>5554621.7699999996</v>
      </c>
      <c r="I10" s="10">
        <f t="shared" si="0"/>
        <v>5554621.7699999996</v>
      </c>
    </row>
    <row r="11" spans="1:9" ht="38.25" x14ac:dyDescent="0.25">
      <c r="A11" s="13"/>
      <c r="B11" s="18">
        <v>63</v>
      </c>
      <c r="C11" s="18"/>
      <c r="D11" s="18" t="s">
        <v>64</v>
      </c>
      <c r="E11" s="10">
        <f>5036205.54</f>
        <v>5036205.54</v>
      </c>
      <c r="F11" s="11">
        <f>5024353</f>
        <v>5024353</v>
      </c>
      <c r="G11" s="11">
        <f>6196807.46</f>
        <v>6196807.46</v>
      </c>
      <c r="H11" s="11">
        <f>4910354.2</f>
        <v>4910354.2</v>
      </c>
      <c r="I11" s="11">
        <f>4910354.2</f>
        <v>4910354.2</v>
      </c>
    </row>
    <row r="12" spans="1:9" x14ac:dyDescent="0.25">
      <c r="A12" s="14"/>
      <c r="B12" s="14"/>
      <c r="C12" s="15">
        <v>52</v>
      </c>
      <c r="D12" s="15" t="s">
        <v>66</v>
      </c>
      <c r="E12" s="10"/>
      <c r="F12" s="11"/>
      <c r="G12" s="11"/>
      <c r="H12" s="11"/>
      <c r="I12" s="11"/>
    </row>
    <row r="13" spans="1:9" ht="38.25" x14ac:dyDescent="0.25">
      <c r="A13" s="13"/>
      <c r="B13" s="18">
        <v>66</v>
      </c>
      <c r="C13" s="18"/>
      <c r="D13" s="18" t="s">
        <v>74</v>
      </c>
      <c r="E13" s="10">
        <f>57656</f>
        <v>57656</v>
      </c>
      <c r="F13" s="11">
        <f>65000</f>
        <v>65000</v>
      </c>
      <c r="G13" s="11">
        <f>48981.79</f>
        <v>48981.79</v>
      </c>
      <c r="H13" s="11">
        <f>51242.14</f>
        <v>51242.14</v>
      </c>
      <c r="I13" s="11">
        <f>51242.14</f>
        <v>51242.14</v>
      </c>
    </row>
    <row r="14" spans="1:9" ht="14.45" x14ac:dyDescent="0.3">
      <c r="A14" s="14"/>
      <c r="B14" s="14"/>
      <c r="C14" s="15">
        <v>31</v>
      </c>
      <c r="D14" s="15" t="s">
        <v>44</v>
      </c>
      <c r="E14" s="10"/>
      <c r="F14" s="11"/>
      <c r="G14" s="11"/>
      <c r="H14" s="11"/>
      <c r="I14" s="11"/>
    </row>
    <row r="15" spans="1:9" ht="38.25" x14ac:dyDescent="0.25">
      <c r="A15" s="14"/>
      <c r="B15" s="14">
        <v>67</v>
      </c>
      <c r="C15" s="15"/>
      <c r="D15" s="18" t="s">
        <v>65</v>
      </c>
      <c r="E15" s="10">
        <f>540875</f>
        <v>540875</v>
      </c>
      <c r="F15" s="11">
        <f>1722304</f>
        <v>1722304</v>
      </c>
      <c r="G15" s="11">
        <f>593025.43</f>
        <v>593025.43000000005</v>
      </c>
      <c r="H15" s="11">
        <f>593025.43</f>
        <v>593025.43000000005</v>
      </c>
      <c r="I15" s="11">
        <f>593025.43</f>
        <v>593025.43000000005</v>
      </c>
    </row>
    <row r="16" spans="1:9" x14ac:dyDescent="0.25">
      <c r="A16" s="14"/>
      <c r="B16" s="14"/>
      <c r="C16" s="15">
        <v>11</v>
      </c>
      <c r="D16" s="15" t="s">
        <v>20</v>
      </c>
      <c r="E16" s="10"/>
      <c r="F16" s="11"/>
      <c r="G16" s="11"/>
      <c r="H16" s="11"/>
      <c r="I16" s="11"/>
    </row>
    <row r="17" spans="1:9" ht="25.5" x14ac:dyDescent="0.25">
      <c r="A17" s="16">
        <v>7</v>
      </c>
      <c r="B17" s="17"/>
      <c r="C17" s="17"/>
      <c r="D17" s="31" t="s">
        <v>21</v>
      </c>
      <c r="E17" s="10">
        <f>+E18</f>
        <v>0</v>
      </c>
      <c r="F17" s="10">
        <f t="shared" ref="F17:I17" si="1">+F18</f>
        <v>80500</v>
      </c>
      <c r="G17" s="10">
        <f t="shared" si="1"/>
        <v>0</v>
      </c>
      <c r="H17" s="10">
        <f t="shared" si="1"/>
        <v>0</v>
      </c>
      <c r="I17" s="10">
        <f t="shared" si="1"/>
        <v>0</v>
      </c>
    </row>
    <row r="18" spans="1:9" ht="39.6" x14ac:dyDescent="0.3">
      <c r="A18" s="18"/>
      <c r="B18" s="18">
        <v>72</v>
      </c>
      <c r="C18" s="18"/>
      <c r="D18" s="32" t="s">
        <v>63</v>
      </c>
      <c r="E18" s="10">
        <v>0</v>
      </c>
      <c r="F18" s="11">
        <f>80500</f>
        <v>80500</v>
      </c>
      <c r="G18" s="11">
        <v>0</v>
      </c>
      <c r="H18" s="11">
        <v>0</v>
      </c>
      <c r="I18" s="12">
        <v>0</v>
      </c>
    </row>
    <row r="19" spans="1:9" x14ac:dyDescent="0.25">
      <c r="A19" s="18"/>
      <c r="B19" s="18"/>
      <c r="C19" s="15">
        <v>11</v>
      </c>
      <c r="D19" s="15" t="s">
        <v>20</v>
      </c>
      <c r="E19" s="10"/>
      <c r="F19" s="11"/>
      <c r="G19" s="11"/>
      <c r="H19" s="11"/>
      <c r="I19" s="12"/>
    </row>
    <row r="20" spans="1:9" ht="14.45" x14ac:dyDescent="0.3">
      <c r="E20" s="89">
        <f>+E10+E17</f>
        <v>5634736.54</v>
      </c>
      <c r="F20" s="89">
        <f t="shared" ref="F20:I20" si="2">+F10+F17</f>
        <v>6892157</v>
      </c>
      <c r="G20" s="89">
        <f t="shared" si="2"/>
        <v>6838814.6799999997</v>
      </c>
      <c r="H20" s="89">
        <f t="shared" si="2"/>
        <v>5554621.7699999996</v>
      </c>
      <c r="I20" s="89">
        <f t="shared" si="2"/>
        <v>5554621.7699999996</v>
      </c>
    </row>
    <row r="21" spans="1:9" ht="15.6" x14ac:dyDescent="0.3">
      <c r="A21" s="100" t="s">
        <v>22</v>
      </c>
      <c r="B21" s="119"/>
      <c r="C21" s="119"/>
      <c r="D21" s="119"/>
      <c r="E21" s="119"/>
      <c r="F21" s="119"/>
      <c r="G21" s="119"/>
      <c r="H21" s="119"/>
      <c r="I21" s="119"/>
    </row>
    <row r="22" spans="1:9" ht="17.45" x14ac:dyDescent="0.3">
      <c r="A22" s="5"/>
      <c r="B22" s="5"/>
      <c r="C22" s="5"/>
      <c r="D22" s="5"/>
      <c r="E22" s="5"/>
      <c r="F22" s="5"/>
      <c r="G22" s="5"/>
      <c r="H22" s="6"/>
      <c r="I22" s="6"/>
    </row>
    <row r="23" spans="1:9" ht="25.5" x14ac:dyDescent="0.25">
      <c r="A23" s="26" t="s">
        <v>16</v>
      </c>
      <c r="B23" s="25" t="s">
        <v>17</v>
      </c>
      <c r="C23" s="25" t="s">
        <v>18</v>
      </c>
      <c r="D23" s="25" t="s">
        <v>23</v>
      </c>
      <c r="E23" s="25" t="s">
        <v>12</v>
      </c>
      <c r="F23" s="26" t="s">
        <v>13</v>
      </c>
      <c r="G23" s="26" t="s">
        <v>60</v>
      </c>
      <c r="H23" s="26" t="s">
        <v>61</v>
      </c>
      <c r="I23" s="26" t="s">
        <v>62</v>
      </c>
    </row>
    <row r="24" spans="1:9" ht="15.75" customHeight="1" x14ac:dyDescent="0.3">
      <c r="A24" s="13">
        <v>3</v>
      </c>
      <c r="B24" s="13"/>
      <c r="C24" s="13"/>
      <c r="D24" s="13" t="s">
        <v>24</v>
      </c>
      <c r="E24" s="10">
        <f>+E25+E27+E29</f>
        <v>5558630.9700000007</v>
      </c>
      <c r="F24" s="10">
        <f t="shared" ref="F24:I24" si="3">+F25+F27+F29</f>
        <v>5738980</v>
      </c>
      <c r="G24" s="10">
        <f t="shared" si="3"/>
        <v>5836729.1399999997</v>
      </c>
      <c r="H24" s="10">
        <f t="shared" si="3"/>
        <v>5552361.4199999999</v>
      </c>
      <c r="I24" s="10">
        <f t="shared" si="3"/>
        <v>5552361.4199999999</v>
      </c>
    </row>
    <row r="25" spans="1:9" ht="15.75" customHeight="1" x14ac:dyDescent="0.3">
      <c r="A25" s="13"/>
      <c r="B25" s="18">
        <v>31</v>
      </c>
      <c r="C25" s="18"/>
      <c r="D25" s="18" t="s">
        <v>25</v>
      </c>
      <c r="E25" s="10">
        <f>4823676.36</f>
        <v>4823676.3600000003</v>
      </c>
      <c r="F25" s="11">
        <f>(4637330+229100+4678+18901)</f>
        <v>4890009</v>
      </c>
      <c r="G25" s="11">
        <f>+(4887780.84+215336.01)</f>
        <v>5103116.8499999996</v>
      </c>
      <c r="H25" s="11">
        <f>+(4887780.84)</f>
        <v>4887780.84</v>
      </c>
      <c r="I25" s="11">
        <f>+(4887780.84)</f>
        <v>4887780.84</v>
      </c>
    </row>
    <row r="26" spans="1:9" x14ac:dyDescent="0.25">
      <c r="A26" s="14"/>
      <c r="B26" s="14"/>
      <c r="C26" s="15">
        <v>11</v>
      </c>
      <c r="D26" s="15" t="s">
        <v>20</v>
      </c>
      <c r="E26" s="10"/>
      <c r="F26" s="11"/>
      <c r="G26" s="11"/>
      <c r="H26" s="11"/>
      <c r="I26" s="11"/>
    </row>
    <row r="27" spans="1:9" x14ac:dyDescent="0.25">
      <c r="A27" s="14"/>
      <c r="B27" s="14">
        <v>32</v>
      </c>
      <c r="C27" s="15"/>
      <c r="D27" s="14" t="s">
        <v>40</v>
      </c>
      <c r="E27" s="10">
        <f>689847.79</f>
        <v>689847.79</v>
      </c>
      <c r="F27" s="11">
        <f>+(304489+275539+65000+29380+22570+766+51000+73845+10000+155+627)</f>
        <v>833371</v>
      </c>
      <c r="G27" s="11">
        <f>+(306360.3+275536.67+48984.79+22573.36+3013.8+65261.46+9998.28)</f>
        <v>731728.66</v>
      </c>
      <c r="H27" s="11">
        <f>+(306360.3+275536.67+48981.79+22573.36+9998.28)</f>
        <v>663450.4</v>
      </c>
      <c r="I27" s="11">
        <f>+(306360.3+275536.67+48981.79+22573.36+9998.28)</f>
        <v>663450.4</v>
      </c>
    </row>
    <row r="28" spans="1:9" x14ac:dyDescent="0.25">
      <c r="A28" s="14"/>
      <c r="B28" s="14"/>
      <c r="C28" s="15">
        <v>11</v>
      </c>
      <c r="D28" s="15" t="s">
        <v>20</v>
      </c>
      <c r="E28" s="10"/>
      <c r="F28" s="11"/>
      <c r="G28" s="11"/>
      <c r="H28" s="11"/>
      <c r="I28" s="11"/>
    </row>
    <row r="29" spans="1:9" x14ac:dyDescent="0.25">
      <c r="A29" s="14"/>
      <c r="B29" s="14">
        <v>34</v>
      </c>
      <c r="C29" s="15"/>
      <c r="D29" s="14" t="s">
        <v>75</v>
      </c>
      <c r="E29" s="10">
        <f>45106.82</f>
        <v>45106.82</v>
      </c>
      <c r="F29" s="11">
        <f>+(3000+11800+800)</f>
        <v>15600</v>
      </c>
      <c r="G29" s="11">
        <f>+(1130.18+753.45)</f>
        <v>1883.63</v>
      </c>
      <c r="H29" s="11">
        <f>+(1130.18)</f>
        <v>1130.18</v>
      </c>
      <c r="I29" s="11">
        <f>+(1130.18)</f>
        <v>1130.18</v>
      </c>
    </row>
    <row r="30" spans="1:9" x14ac:dyDescent="0.25">
      <c r="A30" s="14"/>
      <c r="B30" s="14"/>
      <c r="C30" s="15">
        <v>11</v>
      </c>
      <c r="D30" s="15" t="s">
        <v>20</v>
      </c>
      <c r="E30" s="10"/>
      <c r="F30" s="11"/>
      <c r="G30" s="11"/>
      <c r="H30" s="11"/>
      <c r="I30" s="11"/>
    </row>
    <row r="31" spans="1:9" ht="25.5" x14ac:dyDescent="0.25">
      <c r="A31" s="16">
        <v>4</v>
      </c>
      <c r="B31" s="17"/>
      <c r="C31" s="17"/>
      <c r="D31" s="31" t="s">
        <v>26</v>
      </c>
      <c r="E31" s="10">
        <f>+E32</f>
        <v>31369.74</v>
      </c>
      <c r="F31" s="10">
        <f t="shared" ref="F31:I31" si="4">+F32</f>
        <v>1275723</v>
      </c>
      <c r="G31" s="10">
        <f t="shared" si="4"/>
        <v>1162013.8399999999</v>
      </c>
      <c r="H31" s="10">
        <f t="shared" si="4"/>
        <v>2260.35</v>
      </c>
      <c r="I31" s="10">
        <f t="shared" si="4"/>
        <v>2260.35</v>
      </c>
    </row>
    <row r="32" spans="1:9" ht="38.25" x14ac:dyDescent="0.25">
      <c r="A32" s="18"/>
      <c r="B32" s="18">
        <v>42</v>
      </c>
      <c r="C32" s="18"/>
      <c r="D32" s="32" t="s">
        <v>68</v>
      </c>
      <c r="E32" s="10">
        <f>31369.74</f>
        <v>31369.74</v>
      </c>
      <c r="F32" s="11">
        <f>+(80500+1073443+121780)</f>
        <v>1275723</v>
      </c>
      <c r="G32" s="11">
        <f>+(12055.2+1002088.5+37866.44+110003.7)</f>
        <v>1162013.8399999999</v>
      </c>
      <c r="H32" s="11">
        <f>2260.35</f>
        <v>2260.35</v>
      </c>
      <c r="I32" s="11">
        <f>2260.35</f>
        <v>2260.35</v>
      </c>
    </row>
    <row r="33" spans="1:9" x14ac:dyDescent="0.25">
      <c r="A33" s="18"/>
      <c r="B33" s="18"/>
      <c r="C33" s="15">
        <v>11</v>
      </c>
      <c r="D33" s="15" t="s">
        <v>20</v>
      </c>
      <c r="E33" s="10"/>
      <c r="F33" s="11"/>
      <c r="G33" s="11"/>
      <c r="H33" s="11"/>
      <c r="I33" s="12"/>
    </row>
    <row r="34" spans="1:9" x14ac:dyDescent="0.25">
      <c r="E34" s="89">
        <f>+E24+E31</f>
        <v>5590000.7100000009</v>
      </c>
      <c r="F34" s="89">
        <f t="shared" ref="F34:I34" si="5">+F24+F31</f>
        <v>7014703</v>
      </c>
      <c r="G34" s="89">
        <f t="shared" si="5"/>
        <v>6998742.9799999995</v>
      </c>
      <c r="H34" s="89">
        <f t="shared" si="5"/>
        <v>5554621.7699999996</v>
      </c>
      <c r="I34" s="89">
        <f t="shared" si="5"/>
        <v>5554621.7699999996</v>
      </c>
    </row>
  </sheetData>
  <mergeCells count="5">
    <mergeCell ref="A7:I7"/>
    <mergeCell ref="A21:I21"/>
    <mergeCell ref="A1:I1"/>
    <mergeCell ref="A3:I3"/>
    <mergeCell ref="A5:I5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1"/>
  <sheetViews>
    <sheetView topLeftCell="A89" zoomScale="90" zoomScaleNormal="90" workbookViewId="0">
      <selection activeCell="L124" sqref="L124"/>
    </sheetView>
  </sheetViews>
  <sheetFormatPr defaultColWidth="8.85546875" defaultRowHeight="15" x14ac:dyDescent="0.25"/>
  <cols>
    <col min="1" max="1" width="12" style="61" customWidth="1"/>
    <col min="2" max="2" width="8.42578125" style="61" hidden="1" customWidth="1"/>
    <col min="3" max="3" width="8.7109375" style="61" hidden="1" customWidth="1"/>
    <col min="4" max="4" width="39.140625" style="61" bestFit="1" customWidth="1"/>
    <col min="5" max="5" width="11.28515625" style="61" hidden="1" customWidth="1"/>
    <col min="6" max="6" width="20" style="61" customWidth="1"/>
    <col min="7" max="7" width="11.28515625" style="61" hidden="1" customWidth="1"/>
    <col min="8" max="8" width="24.5703125" style="61" customWidth="1"/>
    <col min="9" max="9" width="11.28515625" style="61" hidden="1" customWidth="1"/>
    <col min="10" max="10" width="23.85546875" style="61" customWidth="1"/>
    <col min="11" max="11" width="11.28515625" style="61" hidden="1" customWidth="1"/>
    <col min="12" max="12" width="24" style="61" customWidth="1"/>
    <col min="13" max="13" width="17.5703125" style="61" hidden="1" customWidth="1"/>
    <col min="14" max="14" width="23.85546875" style="61" customWidth="1"/>
    <col min="15" max="16384" width="8.85546875" style="61"/>
  </cols>
  <sheetData>
    <row r="1" spans="1:14" ht="42" customHeight="1" x14ac:dyDescent="0.25">
      <c r="A1" s="100" t="s">
        <v>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4" ht="17.45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6"/>
      <c r="L2" s="6"/>
      <c r="M2" s="6"/>
      <c r="N2" s="6"/>
    </row>
    <row r="3" spans="1:14" ht="18" customHeight="1" x14ac:dyDescent="0.3">
      <c r="A3" s="100" t="s">
        <v>36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4" ht="17.45" x14ac:dyDescent="0.3">
      <c r="A4" s="30"/>
      <c r="B4" s="30"/>
      <c r="C4" s="30"/>
      <c r="D4" s="30"/>
      <c r="E4" s="30"/>
      <c r="F4" s="30"/>
      <c r="G4" s="30"/>
      <c r="H4" s="30"/>
      <c r="I4" s="30"/>
      <c r="J4" s="95"/>
      <c r="K4" s="6"/>
      <c r="L4" s="6"/>
      <c r="M4" s="6"/>
      <c r="N4" s="6"/>
    </row>
    <row r="5" spans="1:14" ht="25.5" x14ac:dyDescent="0.25">
      <c r="A5" s="124" t="s">
        <v>38</v>
      </c>
      <c r="B5" s="125"/>
      <c r="C5" s="126"/>
      <c r="D5" s="62" t="s">
        <v>39</v>
      </c>
      <c r="F5" s="62" t="s">
        <v>12</v>
      </c>
      <c r="H5" s="63" t="s">
        <v>13</v>
      </c>
      <c r="J5" s="63" t="s">
        <v>60</v>
      </c>
      <c r="L5" s="63" t="s">
        <v>61</v>
      </c>
      <c r="M5" s="63" t="s">
        <v>62</v>
      </c>
      <c r="N5" s="63" t="s">
        <v>62</v>
      </c>
    </row>
    <row r="6" spans="1:14" ht="14.45" hidden="1" x14ac:dyDescent="0.3">
      <c r="A6" s="127" t="s">
        <v>45</v>
      </c>
      <c r="B6" s="128"/>
      <c r="C6" s="129"/>
      <c r="D6" s="64" t="s">
        <v>46</v>
      </c>
      <c r="E6" s="65"/>
      <c r="F6" s="65"/>
      <c r="G6" s="66"/>
      <c r="H6" s="66"/>
      <c r="I6" s="66"/>
      <c r="J6" s="66"/>
      <c r="K6" s="66"/>
      <c r="L6" s="66"/>
      <c r="M6" s="66"/>
      <c r="N6" s="66"/>
    </row>
    <row r="7" spans="1:14" ht="14.45" hidden="1" x14ac:dyDescent="0.3">
      <c r="A7" s="127" t="s">
        <v>47</v>
      </c>
      <c r="B7" s="128"/>
      <c r="C7" s="129"/>
      <c r="D7" s="64" t="s">
        <v>48</v>
      </c>
      <c r="E7" s="65"/>
      <c r="F7" s="65"/>
      <c r="G7" s="66"/>
      <c r="H7" s="66"/>
      <c r="I7" s="66"/>
      <c r="J7" s="66"/>
      <c r="K7" s="66"/>
      <c r="L7" s="66"/>
      <c r="M7" s="66"/>
      <c r="N7" s="66"/>
    </row>
    <row r="8" spans="1:14" ht="14.45" hidden="1" x14ac:dyDescent="0.3">
      <c r="A8" s="120" t="s">
        <v>49</v>
      </c>
      <c r="B8" s="121"/>
      <c r="C8" s="122"/>
      <c r="D8" s="67" t="s">
        <v>50</v>
      </c>
      <c r="E8" s="65"/>
      <c r="F8" s="65"/>
      <c r="G8" s="66"/>
      <c r="H8" s="66"/>
      <c r="I8" s="66"/>
      <c r="J8" s="66"/>
      <c r="K8" s="66"/>
      <c r="L8" s="66"/>
      <c r="M8" s="66"/>
      <c r="N8" s="68"/>
    </row>
    <row r="9" spans="1:14" ht="14.45" hidden="1" x14ac:dyDescent="0.3">
      <c r="A9" s="130">
        <v>3</v>
      </c>
      <c r="B9" s="131"/>
      <c r="C9" s="132"/>
      <c r="D9" s="69" t="s">
        <v>24</v>
      </c>
      <c r="E9" s="65"/>
      <c r="F9" s="65"/>
      <c r="G9" s="66"/>
      <c r="H9" s="66"/>
      <c r="I9" s="66"/>
      <c r="J9" s="66"/>
      <c r="K9" s="66"/>
      <c r="L9" s="66"/>
      <c r="M9" s="66"/>
      <c r="N9" s="68"/>
    </row>
    <row r="10" spans="1:14" ht="14.45" hidden="1" x14ac:dyDescent="0.3">
      <c r="A10" s="133">
        <v>31</v>
      </c>
      <c r="B10" s="134"/>
      <c r="C10" s="135"/>
      <c r="D10" s="69" t="s">
        <v>25</v>
      </c>
      <c r="E10" s="65"/>
      <c r="F10" s="65"/>
      <c r="G10" s="66"/>
      <c r="H10" s="66"/>
      <c r="I10" s="66"/>
      <c r="J10" s="66"/>
      <c r="K10" s="66"/>
      <c r="L10" s="66"/>
      <c r="M10" s="66"/>
      <c r="N10" s="68"/>
    </row>
    <row r="11" spans="1:14" ht="14.45" hidden="1" x14ac:dyDescent="0.3">
      <c r="A11" s="133">
        <v>32</v>
      </c>
      <c r="B11" s="134"/>
      <c r="C11" s="135"/>
      <c r="D11" s="69" t="s">
        <v>40</v>
      </c>
      <c r="E11" s="65"/>
      <c r="F11" s="65"/>
      <c r="G11" s="66"/>
      <c r="H11" s="66"/>
      <c r="I11" s="66"/>
      <c r="J11" s="66"/>
      <c r="K11" s="66"/>
      <c r="L11" s="66"/>
      <c r="M11" s="66"/>
      <c r="N11" s="68"/>
    </row>
    <row r="12" spans="1:14" ht="14.45" hidden="1" x14ac:dyDescent="0.3">
      <c r="A12" s="127" t="s">
        <v>45</v>
      </c>
      <c r="B12" s="128"/>
      <c r="C12" s="129"/>
      <c r="D12" s="64" t="s">
        <v>46</v>
      </c>
      <c r="E12" s="65"/>
      <c r="F12" s="65"/>
      <c r="G12" s="66"/>
      <c r="H12" s="66"/>
      <c r="I12" s="66"/>
      <c r="J12" s="66"/>
      <c r="K12" s="66"/>
      <c r="L12" s="66"/>
      <c r="M12" s="66"/>
      <c r="N12" s="66"/>
    </row>
    <row r="13" spans="1:14" ht="14.25" hidden="1" customHeight="1" x14ac:dyDescent="0.3">
      <c r="A13" s="127" t="s">
        <v>51</v>
      </c>
      <c r="B13" s="128"/>
      <c r="C13" s="129"/>
      <c r="D13" s="64" t="s">
        <v>52</v>
      </c>
      <c r="E13" s="65"/>
      <c r="F13" s="65"/>
      <c r="G13" s="66"/>
      <c r="H13" s="66"/>
      <c r="I13" s="66"/>
      <c r="J13" s="66"/>
      <c r="K13" s="66"/>
      <c r="L13" s="66"/>
      <c r="M13" s="66"/>
      <c r="N13" s="66"/>
    </row>
    <row r="14" spans="1:14" ht="15" hidden="1" customHeight="1" x14ac:dyDescent="0.3">
      <c r="A14" s="120" t="s">
        <v>49</v>
      </c>
      <c r="B14" s="121"/>
      <c r="C14" s="122"/>
      <c r="D14" s="67" t="s">
        <v>50</v>
      </c>
      <c r="E14" s="65"/>
      <c r="F14" s="65"/>
      <c r="G14" s="66"/>
      <c r="H14" s="66"/>
      <c r="I14" s="66"/>
      <c r="J14" s="66"/>
      <c r="K14" s="66"/>
      <c r="L14" s="66"/>
      <c r="M14" s="66"/>
      <c r="N14" s="68"/>
    </row>
    <row r="15" spans="1:14" ht="14.45" hidden="1" x14ac:dyDescent="0.3">
      <c r="A15" s="130">
        <v>3</v>
      </c>
      <c r="B15" s="131"/>
      <c r="C15" s="132"/>
      <c r="D15" s="69" t="s">
        <v>24</v>
      </c>
      <c r="E15" s="65"/>
      <c r="F15" s="65"/>
      <c r="G15" s="66"/>
      <c r="H15" s="66"/>
      <c r="I15" s="66"/>
      <c r="J15" s="66"/>
      <c r="K15" s="66"/>
      <c r="L15" s="66"/>
      <c r="M15" s="66"/>
      <c r="N15" s="68"/>
    </row>
    <row r="16" spans="1:14" ht="14.45" hidden="1" x14ac:dyDescent="0.3">
      <c r="A16" s="133">
        <v>32</v>
      </c>
      <c r="B16" s="134"/>
      <c r="C16" s="135"/>
      <c r="D16" s="69" t="s">
        <v>40</v>
      </c>
      <c r="E16" s="65"/>
      <c r="F16" s="65"/>
      <c r="G16" s="66"/>
      <c r="H16" s="66"/>
      <c r="I16" s="66"/>
      <c r="J16" s="66"/>
      <c r="K16" s="66"/>
      <c r="L16" s="66"/>
      <c r="M16" s="66"/>
      <c r="N16" s="68"/>
    </row>
    <row r="17" spans="1:19" ht="15" hidden="1" customHeight="1" x14ac:dyDescent="0.3">
      <c r="A17" s="120" t="s">
        <v>49</v>
      </c>
      <c r="B17" s="121"/>
      <c r="C17" s="122"/>
      <c r="D17" s="67" t="s">
        <v>50</v>
      </c>
      <c r="E17" s="65"/>
      <c r="F17" s="65"/>
      <c r="G17" s="66"/>
      <c r="H17" s="66"/>
      <c r="I17" s="66"/>
      <c r="J17" s="66"/>
      <c r="K17" s="66"/>
      <c r="L17" s="66"/>
      <c r="M17" s="66"/>
      <c r="N17" s="68"/>
    </row>
    <row r="18" spans="1:19" ht="14.45" hidden="1" x14ac:dyDescent="0.3">
      <c r="A18" s="130">
        <v>4</v>
      </c>
      <c r="B18" s="131"/>
      <c r="C18" s="132"/>
      <c r="D18" s="69" t="s">
        <v>26</v>
      </c>
      <c r="E18" s="65"/>
      <c r="F18" s="65"/>
      <c r="G18" s="66"/>
      <c r="H18" s="66"/>
      <c r="I18" s="66"/>
      <c r="J18" s="66"/>
      <c r="K18" s="66"/>
      <c r="L18" s="66"/>
      <c r="M18" s="66"/>
      <c r="N18" s="68"/>
    </row>
    <row r="19" spans="1:19" ht="26.45" hidden="1" x14ac:dyDescent="0.3">
      <c r="A19" s="133">
        <v>42</v>
      </c>
      <c r="B19" s="134"/>
      <c r="C19" s="135"/>
      <c r="D19" s="69" t="s">
        <v>68</v>
      </c>
      <c r="E19" s="65"/>
      <c r="F19" s="65"/>
      <c r="G19" s="66"/>
      <c r="H19" s="66"/>
      <c r="I19" s="66"/>
      <c r="J19" s="66"/>
      <c r="K19" s="66"/>
      <c r="L19" s="66"/>
      <c r="M19" s="66"/>
      <c r="N19" s="68"/>
    </row>
    <row r="20" spans="1:19" s="60" customFormat="1" ht="16.5" x14ac:dyDescent="0.25">
      <c r="A20" s="139" t="s">
        <v>117</v>
      </c>
      <c r="B20" s="140"/>
      <c r="C20" s="141"/>
      <c r="D20" s="70" t="s">
        <v>118</v>
      </c>
      <c r="E20" s="71">
        <f>+E21+E47+E82+E98</f>
        <v>5590000.71</v>
      </c>
      <c r="F20" s="71">
        <f>+E20/7.5345</f>
        <v>741920.59327095351</v>
      </c>
      <c r="G20" s="71">
        <f>+G21+G47+G82+G98</f>
        <v>7014703</v>
      </c>
      <c r="H20" s="71">
        <f>+G20/7.5345</f>
        <v>931011.08235450252</v>
      </c>
      <c r="I20" s="71">
        <f>+I21+I47+I82+I98</f>
        <v>6998739.9799999995</v>
      </c>
      <c r="J20" s="71">
        <f>+I20/7.5345+J94-0.01</f>
        <v>929222.41550932371</v>
      </c>
      <c r="K20" s="71">
        <f>+K21+K47+K82+K98</f>
        <v>5554621.7699999996</v>
      </c>
      <c r="L20" s="71">
        <f>+K20/7.5345</f>
        <v>737225.00099542097</v>
      </c>
      <c r="M20" s="71">
        <f>+M21+M47+M82+M98</f>
        <v>5554621.7699999996</v>
      </c>
      <c r="N20" s="87">
        <f>+M20/7.5345</f>
        <v>737225.00099542097</v>
      </c>
      <c r="O20" s="61"/>
      <c r="P20" s="61"/>
      <c r="Q20" s="61"/>
      <c r="R20" s="61"/>
      <c r="S20" s="61"/>
    </row>
    <row r="21" spans="1:19" ht="27.6" x14ac:dyDescent="0.3">
      <c r="A21" s="139">
        <v>2201</v>
      </c>
      <c r="B21" s="140"/>
      <c r="C21" s="141"/>
      <c r="D21" s="72" t="s">
        <v>76</v>
      </c>
      <c r="E21" s="73">
        <f>+E22+E27+E31+E41</f>
        <v>5274328.2700000005</v>
      </c>
      <c r="F21" s="73">
        <f t="shared" ref="F21:F84" si="0">+E21/7.5345</f>
        <v>700023.66049505607</v>
      </c>
      <c r="G21" s="73">
        <f t="shared" ref="G21:M21" si="1">+G22+G27+G31+G41</f>
        <v>5407038</v>
      </c>
      <c r="H21" s="73">
        <f t="shared" ref="H21" si="2">+G21/7.5345</f>
        <v>717637.26856460283</v>
      </c>
      <c r="I21" s="73">
        <f t="shared" si="1"/>
        <v>5531844.9799999995</v>
      </c>
      <c r="J21" s="73">
        <f t="shared" ref="J21" si="3">+I21/7.5345</f>
        <v>734202.00145995081</v>
      </c>
      <c r="K21" s="73">
        <f t="shared" si="1"/>
        <v>5522050.1299999999</v>
      </c>
      <c r="L21" s="73">
        <f t="shared" ref="L21" si="4">+K21/7.5345</f>
        <v>732902.00145995081</v>
      </c>
      <c r="M21" s="73">
        <f t="shared" si="1"/>
        <v>5522050.1299999999</v>
      </c>
      <c r="N21" s="88">
        <f t="shared" ref="N21" si="5">+M21/7.5345</f>
        <v>732902.00145995081</v>
      </c>
    </row>
    <row r="22" spans="1:19" s="83" customFormat="1" ht="14.45" x14ac:dyDescent="0.3">
      <c r="A22" s="136" t="s">
        <v>77</v>
      </c>
      <c r="B22" s="137"/>
      <c r="C22" s="138"/>
      <c r="D22" s="74" t="s">
        <v>78</v>
      </c>
      <c r="E22" s="85">
        <f>+E23</f>
        <v>300943.08</v>
      </c>
      <c r="F22" s="85">
        <f t="shared" si="0"/>
        <v>39942.010750547481</v>
      </c>
      <c r="G22" s="85">
        <f t="shared" ref="G22:M22" si="6">+G23</f>
        <v>307489</v>
      </c>
      <c r="H22" s="85">
        <f t="shared" ref="H22" si="7">+G22/7.5345</f>
        <v>40810.803636604949</v>
      </c>
      <c r="I22" s="85">
        <f t="shared" si="6"/>
        <v>307490.48</v>
      </c>
      <c r="J22" s="85">
        <f t="shared" ref="J22" si="8">+I22/7.5345</f>
        <v>40811.000066361397</v>
      </c>
      <c r="K22" s="85">
        <f t="shared" si="6"/>
        <v>307490.48</v>
      </c>
      <c r="L22" s="85">
        <f t="shared" ref="L22" si="9">+K22/7.5345</f>
        <v>40811.000066361397</v>
      </c>
      <c r="M22" s="85">
        <f t="shared" si="6"/>
        <v>307490.48</v>
      </c>
      <c r="N22" s="86">
        <f t="shared" ref="N22" si="10">+M22/7.5345</f>
        <v>40811.000066361397</v>
      </c>
    </row>
    <row r="23" spans="1:19" s="83" customFormat="1" x14ac:dyDescent="0.25">
      <c r="A23" s="142">
        <v>48007</v>
      </c>
      <c r="B23" s="143"/>
      <c r="C23" s="144"/>
      <c r="D23" s="74" t="s">
        <v>79</v>
      </c>
      <c r="E23" s="85">
        <v>300943.08</v>
      </c>
      <c r="F23" s="85">
        <f t="shared" si="0"/>
        <v>39942.010750547481</v>
      </c>
      <c r="G23" s="85">
        <v>307489</v>
      </c>
      <c r="H23" s="85">
        <f t="shared" ref="H23" si="11">+G23/7.5345</f>
        <v>40810.803636604949</v>
      </c>
      <c r="I23" s="85">
        <v>307490.48</v>
      </c>
      <c r="J23" s="85">
        <f t="shared" ref="J23" si="12">+I23/7.5345</f>
        <v>40811.000066361397</v>
      </c>
      <c r="K23" s="85">
        <v>307490.48</v>
      </c>
      <c r="L23" s="85">
        <f t="shared" ref="L23" si="13">+K23/7.5345</f>
        <v>40811.000066361397</v>
      </c>
      <c r="M23" s="85">
        <v>307490.48</v>
      </c>
      <c r="N23" s="86">
        <f t="shared" ref="N23" si="14">+M23/7.5345</f>
        <v>40811.000066361397</v>
      </c>
    </row>
    <row r="24" spans="1:19" s="84" customFormat="1" ht="14.45" x14ac:dyDescent="0.3">
      <c r="A24" s="48">
        <v>3</v>
      </c>
      <c r="B24" s="56"/>
      <c r="C24" s="56"/>
      <c r="D24" s="49" t="s">
        <v>22</v>
      </c>
      <c r="E24" s="50">
        <v>300943.08</v>
      </c>
      <c r="F24" s="50">
        <f t="shared" si="0"/>
        <v>39942.010750547481</v>
      </c>
      <c r="G24" s="50">
        <v>307489</v>
      </c>
      <c r="H24" s="50">
        <f t="shared" ref="H24" si="15">+G24/7.5345</f>
        <v>40810.803636604949</v>
      </c>
      <c r="I24" s="50">
        <v>307490.48</v>
      </c>
      <c r="J24" s="50">
        <f t="shared" ref="J24" si="16">+I24/7.5345</f>
        <v>40811.000066361397</v>
      </c>
      <c r="K24" s="50">
        <v>307490.48</v>
      </c>
      <c r="L24" s="50">
        <f t="shared" ref="L24" si="17">+K24/7.5345</f>
        <v>40811.000066361397</v>
      </c>
      <c r="M24" s="50">
        <v>307490.48</v>
      </c>
      <c r="N24" s="58">
        <f t="shared" ref="N24" si="18">+M24/7.5345</f>
        <v>40811.000066361397</v>
      </c>
    </row>
    <row r="25" spans="1:19" s="84" customFormat="1" ht="14.45" x14ac:dyDescent="0.3">
      <c r="A25" s="48">
        <v>32</v>
      </c>
      <c r="B25" s="56"/>
      <c r="C25" s="56"/>
      <c r="D25" s="49" t="s">
        <v>40</v>
      </c>
      <c r="E25" s="50">
        <v>296713.47000000003</v>
      </c>
      <c r="F25" s="50">
        <f t="shared" si="0"/>
        <v>39380.645032848894</v>
      </c>
      <c r="G25" s="50">
        <v>304489</v>
      </c>
      <c r="H25" s="50">
        <f t="shared" ref="H25" si="19">+G25/7.5345</f>
        <v>40412.63521136107</v>
      </c>
      <c r="I25" s="50">
        <v>306360.3</v>
      </c>
      <c r="J25" s="50">
        <f t="shared" ref="J25" si="20">+I25/7.5345</f>
        <v>40660.999402747359</v>
      </c>
      <c r="K25" s="50">
        <v>306360.3</v>
      </c>
      <c r="L25" s="50">
        <f t="shared" ref="L25" si="21">+K25/7.5345</f>
        <v>40660.999402747359</v>
      </c>
      <c r="M25" s="50">
        <v>306360.3</v>
      </c>
      <c r="N25" s="58">
        <f t="shared" ref="N25" si="22">+M25/7.5345</f>
        <v>40660.999402747359</v>
      </c>
    </row>
    <row r="26" spans="1:19" s="84" customFormat="1" ht="14.45" x14ac:dyDescent="0.3">
      <c r="A26" s="48">
        <v>34</v>
      </c>
      <c r="B26" s="56"/>
      <c r="C26" s="56"/>
      <c r="D26" s="52" t="s">
        <v>80</v>
      </c>
      <c r="E26" s="50">
        <v>4229.6099999999997</v>
      </c>
      <c r="F26" s="50">
        <f t="shared" si="0"/>
        <v>561.36571769858642</v>
      </c>
      <c r="G26" s="50">
        <v>3000</v>
      </c>
      <c r="H26" s="50">
        <f t="shared" ref="H26" si="23">+G26/7.5345</f>
        <v>398.16842524387812</v>
      </c>
      <c r="I26" s="50">
        <v>1130.18</v>
      </c>
      <c r="J26" s="50">
        <f t="shared" ref="J26" si="24">+I26/7.5345</f>
        <v>150.00066361404208</v>
      </c>
      <c r="K26" s="50">
        <v>1130.18</v>
      </c>
      <c r="L26" s="50">
        <f t="shared" ref="L26" si="25">+K26/7.5345</f>
        <v>150.00066361404208</v>
      </c>
      <c r="M26" s="50">
        <v>1130.18</v>
      </c>
      <c r="N26" s="58">
        <f t="shared" ref="N26" si="26">+M26/7.5345</f>
        <v>150.00066361404208</v>
      </c>
    </row>
    <row r="27" spans="1:19" s="83" customFormat="1" x14ac:dyDescent="0.25">
      <c r="A27" s="136" t="s">
        <v>81</v>
      </c>
      <c r="B27" s="137"/>
      <c r="C27" s="138"/>
      <c r="D27" s="74" t="s">
        <v>82</v>
      </c>
      <c r="E27" s="85">
        <f>+E28</f>
        <v>235037.32</v>
      </c>
      <c r="F27" s="85">
        <f t="shared" si="0"/>
        <v>31194.813192647154</v>
      </c>
      <c r="G27" s="85">
        <f t="shared" ref="G27:M27" si="27">+G28</f>
        <v>275539</v>
      </c>
      <c r="H27" s="85">
        <f t="shared" ref="H27" si="28">+G27/7.5345</f>
        <v>36570.309907757648</v>
      </c>
      <c r="I27" s="85">
        <f t="shared" si="27"/>
        <v>275536.67</v>
      </c>
      <c r="J27" s="85">
        <f t="shared" ref="J27" si="29">+I27/7.5345</f>
        <v>36570.000663614039</v>
      </c>
      <c r="K27" s="85">
        <f t="shared" si="27"/>
        <v>275536.67</v>
      </c>
      <c r="L27" s="85">
        <f t="shared" ref="L27" si="30">+K27/7.5345</f>
        <v>36570.000663614039</v>
      </c>
      <c r="M27" s="85">
        <f t="shared" si="27"/>
        <v>275536.67</v>
      </c>
      <c r="N27" s="86">
        <f t="shared" ref="N27" si="31">+M27/7.5345</f>
        <v>36570.000663614039</v>
      </c>
    </row>
    <row r="28" spans="1:19" s="83" customFormat="1" x14ac:dyDescent="0.25">
      <c r="A28" s="142">
        <v>48007</v>
      </c>
      <c r="B28" s="143"/>
      <c r="C28" s="144"/>
      <c r="D28" s="74" t="s">
        <v>79</v>
      </c>
      <c r="E28" s="85">
        <v>235037.32</v>
      </c>
      <c r="F28" s="85">
        <f t="shared" si="0"/>
        <v>31194.813192647154</v>
      </c>
      <c r="G28" s="85">
        <v>275539</v>
      </c>
      <c r="H28" s="85">
        <f t="shared" ref="H28" si="32">+G28/7.5345</f>
        <v>36570.309907757648</v>
      </c>
      <c r="I28" s="85">
        <v>275536.67</v>
      </c>
      <c r="J28" s="85">
        <f t="shared" ref="J28" si="33">+I28/7.5345</f>
        <v>36570.000663614039</v>
      </c>
      <c r="K28" s="85">
        <v>275536.67</v>
      </c>
      <c r="L28" s="85">
        <f t="shared" ref="L28" si="34">+K28/7.5345</f>
        <v>36570.000663614039</v>
      </c>
      <c r="M28" s="85">
        <v>275536.67</v>
      </c>
      <c r="N28" s="86">
        <f t="shared" ref="N28" si="35">+M28/7.5345</f>
        <v>36570.000663614039</v>
      </c>
    </row>
    <row r="29" spans="1:19" s="84" customFormat="1" ht="14.45" x14ac:dyDescent="0.3">
      <c r="A29" s="48">
        <v>3</v>
      </c>
      <c r="B29" s="56"/>
      <c r="C29" s="56"/>
      <c r="D29" s="49" t="s">
        <v>22</v>
      </c>
      <c r="E29" s="50">
        <v>235037.32</v>
      </c>
      <c r="F29" s="50">
        <f t="shared" si="0"/>
        <v>31194.813192647154</v>
      </c>
      <c r="G29" s="50">
        <v>275539</v>
      </c>
      <c r="H29" s="50">
        <f t="shared" ref="H29" si="36">+G29/7.5345</f>
        <v>36570.309907757648</v>
      </c>
      <c r="I29" s="50">
        <v>275536.67</v>
      </c>
      <c r="J29" s="50">
        <f t="shared" ref="J29" si="37">+I29/7.5345</f>
        <v>36570.000663614039</v>
      </c>
      <c r="K29" s="50">
        <v>275536.67</v>
      </c>
      <c r="L29" s="50">
        <f t="shared" ref="L29" si="38">+K29/7.5345</f>
        <v>36570.000663614039</v>
      </c>
      <c r="M29" s="50">
        <v>275536.67</v>
      </c>
      <c r="N29" s="58">
        <f t="shared" ref="N29" si="39">+M29/7.5345</f>
        <v>36570.000663614039</v>
      </c>
    </row>
    <row r="30" spans="1:19" s="84" customFormat="1" ht="14.45" x14ac:dyDescent="0.3">
      <c r="A30" s="48">
        <v>32</v>
      </c>
      <c r="B30" s="56"/>
      <c r="C30" s="56"/>
      <c r="D30" s="49" t="s">
        <v>40</v>
      </c>
      <c r="E30" s="50">
        <v>235037.32</v>
      </c>
      <c r="F30" s="50">
        <f t="shared" si="0"/>
        <v>31194.813192647154</v>
      </c>
      <c r="G30" s="50">
        <v>275539</v>
      </c>
      <c r="H30" s="50">
        <f t="shared" ref="H30" si="40">+G30/7.5345</f>
        <v>36570.309907757648</v>
      </c>
      <c r="I30" s="50">
        <v>275536.67</v>
      </c>
      <c r="J30" s="50">
        <f t="shared" ref="J30" si="41">+I30/7.5345</f>
        <v>36570.000663614039</v>
      </c>
      <c r="K30" s="50">
        <v>275536.67</v>
      </c>
      <c r="L30" s="50">
        <f t="shared" ref="L30" si="42">+K30/7.5345</f>
        <v>36570.000663614039</v>
      </c>
      <c r="M30" s="50">
        <v>275536.67</v>
      </c>
      <c r="N30" s="58">
        <f t="shared" ref="N30" si="43">+M30/7.5345</f>
        <v>36570.000663614039</v>
      </c>
    </row>
    <row r="31" spans="1:19" s="83" customFormat="1" ht="14.45" x14ac:dyDescent="0.3">
      <c r="A31" s="136" t="s">
        <v>83</v>
      </c>
      <c r="B31" s="137"/>
      <c r="C31" s="138"/>
      <c r="D31" s="72" t="s">
        <v>84</v>
      </c>
      <c r="E31" s="85">
        <f>+E32+E35+E38</f>
        <v>57914.430000000008</v>
      </c>
      <c r="F31" s="85">
        <f t="shared" si="0"/>
        <v>7686.5657973322723</v>
      </c>
      <c r="G31" s="85">
        <f t="shared" ref="G31:M31" si="44">+G32+G35+G38</f>
        <v>145500</v>
      </c>
      <c r="H31" s="85">
        <f t="shared" ref="H31" si="45">+G31/7.5345</f>
        <v>19311.168624328089</v>
      </c>
      <c r="I31" s="85">
        <f t="shared" si="44"/>
        <v>61036.990000000005</v>
      </c>
      <c r="J31" s="85">
        <f t="shared" ref="J31" si="46">+I31/7.5345</f>
        <v>8101.0007299754461</v>
      </c>
      <c r="K31" s="85">
        <f t="shared" si="44"/>
        <v>51242.14</v>
      </c>
      <c r="L31" s="85">
        <f t="shared" ref="L31" si="47">+K31/7.5345</f>
        <v>6801.0007299754461</v>
      </c>
      <c r="M31" s="85">
        <f t="shared" si="44"/>
        <v>51242.14</v>
      </c>
      <c r="N31" s="86">
        <f t="shared" ref="N31" si="48">+M31/7.5345</f>
        <v>6801.0007299754461</v>
      </c>
    </row>
    <row r="32" spans="1:19" s="83" customFormat="1" x14ac:dyDescent="0.25">
      <c r="A32" s="142">
        <v>32400</v>
      </c>
      <c r="B32" s="143"/>
      <c r="C32" s="144"/>
      <c r="D32" s="74" t="s">
        <v>85</v>
      </c>
      <c r="E32" s="85">
        <v>40190.240000000005</v>
      </c>
      <c r="F32" s="85">
        <f t="shared" si="0"/>
        <v>5334.1615236578409</v>
      </c>
      <c r="G32" s="85">
        <v>65000</v>
      </c>
      <c r="H32" s="85">
        <f t="shared" ref="H32" si="49">+G32/7.5345</f>
        <v>8626.9825469506923</v>
      </c>
      <c r="I32" s="85">
        <v>48981.79</v>
      </c>
      <c r="J32" s="85">
        <f t="shared" ref="J32" si="50">+I32/7.5345</f>
        <v>6501.0007299754461</v>
      </c>
      <c r="K32" s="85">
        <v>48981.79</v>
      </c>
      <c r="L32" s="85">
        <f t="shared" ref="L32" si="51">+K32/7.5345</f>
        <v>6501.0007299754461</v>
      </c>
      <c r="M32" s="85">
        <v>48981.79</v>
      </c>
      <c r="N32" s="86">
        <f t="shared" ref="N32" si="52">+M32/7.5345</f>
        <v>6501.0007299754461</v>
      </c>
    </row>
    <row r="33" spans="1:14" s="84" customFormat="1" ht="14.45" x14ac:dyDescent="0.3">
      <c r="A33" s="48">
        <v>3</v>
      </c>
      <c r="B33" s="56"/>
      <c r="C33" s="56"/>
      <c r="D33" s="49" t="s">
        <v>22</v>
      </c>
      <c r="E33" s="50">
        <v>40190.240000000005</v>
      </c>
      <c r="F33" s="50">
        <f t="shared" si="0"/>
        <v>5334.1615236578409</v>
      </c>
      <c r="G33" s="50">
        <v>65000</v>
      </c>
      <c r="H33" s="50">
        <f t="shared" ref="H33" si="53">+G33/7.5345</f>
        <v>8626.9825469506923</v>
      </c>
      <c r="I33" s="50">
        <v>48981.79</v>
      </c>
      <c r="J33" s="50">
        <f t="shared" ref="J33" si="54">+I33/7.5345</f>
        <v>6501.0007299754461</v>
      </c>
      <c r="K33" s="50">
        <v>48981.79</v>
      </c>
      <c r="L33" s="50">
        <f t="shared" ref="L33" si="55">+K33/7.5345</f>
        <v>6501.0007299754461</v>
      </c>
      <c r="M33" s="50">
        <v>48981.79</v>
      </c>
      <c r="N33" s="58">
        <f t="shared" ref="N33" si="56">+M33/7.5345</f>
        <v>6501.0007299754461</v>
      </c>
    </row>
    <row r="34" spans="1:14" s="84" customFormat="1" ht="14.45" x14ac:dyDescent="0.3">
      <c r="A34" s="48">
        <v>32</v>
      </c>
      <c r="B34" s="56"/>
      <c r="C34" s="56"/>
      <c r="D34" s="52" t="s">
        <v>40</v>
      </c>
      <c r="E34" s="50">
        <v>40190.240000000005</v>
      </c>
      <c r="F34" s="50">
        <f t="shared" si="0"/>
        <v>5334.1615236578409</v>
      </c>
      <c r="G34" s="50">
        <v>65000</v>
      </c>
      <c r="H34" s="50">
        <f t="shared" ref="H34" si="57">+G34/7.5345</f>
        <v>8626.9825469506923</v>
      </c>
      <c r="I34" s="50">
        <v>48981.79</v>
      </c>
      <c r="J34" s="50">
        <f t="shared" ref="J34" si="58">+I34/7.5345</f>
        <v>6501.0007299754461</v>
      </c>
      <c r="K34" s="50">
        <v>48981.79</v>
      </c>
      <c r="L34" s="50">
        <f t="shared" ref="L34" si="59">+K34/7.5345</f>
        <v>6501.0007299754461</v>
      </c>
      <c r="M34" s="50">
        <v>48981.79</v>
      </c>
      <c r="N34" s="58">
        <f t="shared" ref="N34" si="60">+M34/7.5345</f>
        <v>6501.0007299754461</v>
      </c>
    </row>
    <row r="35" spans="1:14" s="83" customFormat="1" x14ac:dyDescent="0.25">
      <c r="A35" s="145">
        <v>47400</v>
      </c>
      <c r="B35" s="148"/>
      <c r="C35" s="149"/>
      <c r="D35" s="74" t="s">
        <v>86</v>
      </c>
      <c r="E35" s="85">
        <v>7724.19</v>
      </c>
      <c r="F35" s="85">
        <f t="shared" si="0"/>
        <v>1025.1761895281702</v>
      </c>
      <c r="G35" s="85">
        <v>80500</v>
      </c>
      <c r="H35" s="85">
        <f t="shared" ref="H35" si="61">+G35/7.5345</f>
        <v>10684.186077377397</v>
      </c>
      <c r="I35" s="85">
        <v>12055.2</v>
      </c>
      <c r="J35" s="85">
        <f t="shared" ref="J35" si="62">+I35/7.5345</f>
        <v>1600</v>
      </c>
      <c r="K35" s="85">
        <v>2260.35</v>
      </c>
      <c r="L35" s="85">
        <f t="shared" ref="L35" si="63">+K35/7.5345</f>
        <v>299.99999999999994</v>
      </c>
      <c r="M35" s="85">
        <v>2260.35</v>
      </c>
      <c r="N35" s="86">
        <f t="shared" ref="N35" si="64">+M35/7.5345</f>
        <v>299.99999999999994</v>
      </c>
    </row>
    <row r="36" spans="1:14" ht="14.45" x14ac:dyDescent="0.3">
      <c r="A36" s="48">
        <v>4</v>
      </c>
      <c r="B36" s="55"/>
      <c r="C36" s="55"/>
      <c r="D36" s="49" t="s">
        <v>5</v>
      </c>
      <c r="E36" s="50">
        <f>+E37</f>
        <v>7724.19</v>
      </c>
      <c r="F36" s="50">
        <f t="shared" si="0"/>
        <v>1025.1761895281702</v>
      </c>
      <c r="G36" s="50">
        <f t="shared" ref="G36:K36" si="65">+G37</f>
        <v>80500</v>
      </c>
      <c r="H36" s="50">
        <f t="shared" ref="H36" si="66">+G36/7.5345</f>
        <v>10684.186077377397</v>
      </c>
      <c r="I36" s="50">
        <f t="shared" si="65"/>
        <v>12055.2</v>
      </c>
      <c r="J36" s="50">
        <f t="shared" ref="J36" si="67">+I36/7.5345</f>
        <v>1600</v>
      </c>
      <c r="K36" s="50">
        <f t="shared" si="65"/>
        <v>2260.35</v>
      </c>
      <c r="L36" s="50">
        <f t="shared" ref="L36" si="68">+K36/7.5345</f>
        <v>299.99999999999994</v>
      </c>
      <c r="M36" s="50">
        <f>+M37</f>
        <v>2260.35</v>
      </c>
      <c r="N36" s="58">
        <f t="shared" ref="N36" si="69">+M36/7.5345</f>
        <v>299.99999999999994</v>
      </c>
    </row>
    <row r="37" spans="1:14" ht="14.45" x14ac:dyDescent="0.3">
      <c r="A37" s="48">
        <v>42</v>
      </c>
      <c r="B37" s="55"/>
      <c r="C37" s="55"/>
      <c r="D37" s="52" t="s">
        <v>119</v>
      </c>
      <c r="E37" s="50">
        <v>7724.19</v>
      </c>
      <c r="F37" s="50">
        <f t="shared" si="0"/>
        <v>1025.1761895281702</v>
      </c>
      <c r="G37" s="50">
        <v>80500</v>
      </c>
      <c r="H37" s="50">
        <f t="shared" ref="H37" si="70">+G37/7.5345</f>
        <v>10684.186077377397</v>
      </c>
      <c r="I37" s="50">
        <v>12055.2</v>
      </c>
      <c r="J37" s="50">
        <f t="shared" ref="J37" si="71">+I37/7.5345</f>
        <v>1600</v>
      </c>
      <c r="K37" s="50">
        <v>2260.35</v>
      </c>
      <c r="L37" s="50">
        <f t="shared" ref="L37" si="72">+K37/7.5345</f>
        <v>299.99999999999994</v>
      </c>
      <c r="M37" s="50">
        <v>2260.35</v>
      </c>
      <c r="N37" s="58">
        <f t="shared" ref="N37" si="73">+M37/7.5345</f>
        <v>299.99999999999994</v>
      </c>
    </row>
    <row r="38" spans="1:14" s="83" customFormat="1" ht="14.45" x14ac:dyDescent="0.3">
      <c r="A38" s="145">
        <v>62400</v>
      </c>
      <c r="B38" s="146"/>
      <c r="C38" s="147"/>
      <c r="D38" s="74" t="s">
        <v>87</v>
      </c>
      <c r="E38" s="85">
        <v>10000</v>
      </c>
      <c r="F38" s="85">
        <f t="shared" si="0"/>
        <v>1327.2280841462605</v>
      </c>
      <c r="G38" s="85">
        <v>0</v>
      </c>
      <c r="H38" s="85">
        <f t="shared" ref="H38" si="74">+G38/7.5345</f>
        <v>0</v>
      </c>
      <c r="I38" s="85">
        <v>0</v>
      </c>
      <c r="J38" s="85">
        <f t="shared" ref="J38" si="75">+I38/7.5345</f>
        <v>0</v>
      </c>
      <c r="K38" s="85">
        <v>0</v>
      </c>
      <c r="L38" s="85">
        <f t="shared" ref="L38" si="76">+K38/7.5345</f>
        <v>0</v>
      </c>
      <c r="M38" s="85">
        <v>0</v>
      </c>
      <c r="N38" s="86">
        <f t="shared" ref="N38" si="77">+M38/7.5345</f>
        <v>0</v>
      </c>
    </row>
    <row r="39" spans="1:14" ht="14.45" x14ac:dyDescent="0.3">
      <c r="A39" s="48">
        <v>3</v>
      </c>
      <c r="B39" s="55"/>
      <c r="C39" s="55"/>
      <c r="D39" s="49" t="s">
        <v>22</v>
      </c>
      <c r="E39" s="50">
        <v>10000</v>
      </c>
      <c r="F39" s="50">
        <f t="shared" si="0"/>
        <v>1327.2280841462605</v>
      </c>
      <c r="G39" s="50">
        <v>0</v>
      </c>
      <c r="H39" s="50">
        <f t="shared" ref="H39" si="78">+G39/7.5345</f>
        <v>0</v>
      </c>
      <c r="I39" s="50">
        <v>0</v>
      </c>
      <c r="J39" s="50">
        <f t="shared" ref="J39" si="79">+I39/7.5345</f>
        <v>0</v>
      </c>
      <c r="K39" s="50">
        <v>0</v>
      </c>
      <c r="L39" s="50">
        <f t="shared" ref="L39" si="80">+K39/7.5345</f>
        <v>0</v>
      </c>
      <c r="M39" s="50">
        <v>0</v>
      </c>
      <c r="N39" s="58">
        <f t="shared" ref="N39" si="81">+M39/7.5345</f>
        <v>0</v>
      </c>
    </row>
    <row r="40" spans="1:14" ht="14.45" x14ac:dyDescent="0.3">
      <c r="A40" s="48">
        <v>32</v>
      </c>
      <c r="B40" s="55"/>
      <c r="C40" s="55"/>
      <c r="D40" s="49" t="s">
        <v>40</v>
      </c>
      <c r="E40" s="50">
        <v>10000</v>
      </c>
      <c r="F40" s="50">
        <f t="shared" si="0"/>
        <v>1327.2280841462605</v>
      </c>
      <c r="G40" s="50">
        <v>0</v>
      </c>
      <c r="H40" s="50">
        <f t="shared" ref="H40" si="82">+G40/7.5345</f>
        <v>0</v>
      </c>
      <c r="I40" s="50">
        <v>0</v>
      </c>
      <c r="J40" s="50">
        <f t="shared" ref="J40" si="83">+I40/7.5345</f>
        <v>0</v>
      </c>
      <c r="K40" s="50">
        <v>0</v>
      </c>
      <c r="L40" s="50">
        <f t="shared" ref="L40" si="84">+K40/7.5345</f>
        <v>0</v>
      </c>
      <c r="M40" s="50">
        <v>0</v>
      </c>
      <c r="N40" s="58">
        <f t="shared" ref="N40" si="85">+M40/7.5345</f>
        <v>0</v>
      </c>
    </row>
    <row r="41" spans="1:14" s="83" customFormat="1" x14ac:dyDescent="0.25">
      <c r="A41" s="150" t="s">
        <v>88</v>
      </c>
      <c r="B41" s="151"/>
      <c r="C41" s="152"/>
      <c r="D41" s="72" t="s">
        <v>89</v>
      </c>
      <c r="E41" s="85">
        <f>+E42</f>
        <v>4680433.4400000004</v>
      </c>
      <c r="F41" s="85">
        <f t="shared" si="0"/>
        <v>621200.27075452916</v>
      </c>
      <c r="G41" s="85">
        <f t="shared" ref="G41:M41" si="86">+G42</f>
        <v>4678510</v>
      </c>
      <c r="H41" s="85">
        <f t="shared" ref="H41" si="87">+G41/7.5345</f>
        <v>620944.98639591213</v>
      </c>
      <c r="I41" s="85">
        <f t="shared" si="86"/>
        <v>4887780.84</v>
      </c>
      <c r="J41" s="85">
        <f t="shared" ref="J41" si="88">+I41/7.5345</f>
        <v>648720</v>
      </c>
      <c r="K41" s="85">
        <f t="shared" si="86"/>
        <v>4887780.84</v>
      </c>
      <c r="L41" s="85">
        <f t="shared" ref="L41" si="89">+K41/7.5345</f>
        <v>648720</v>
      </c>
      <c r="M41" s="85">
        <f t="shared" si="86"/>
        <v>4887780.84</v>
      </c>
      <c r="N41" s="86">
        <f t="shared" ref="N41" si="90">+M41/7.5345</f>
        <v>648720</v>
      </c>
    </row>
    <row r="42" spans="1:14" s="83" customFormat="1" x14ac:dyDescent="0.25">
      <c r="A42" s="145">
        <v>53082</v>
      </c>
      <c r="B42" s="146"/>
      <c r="C42" s="147"/>
      <c r="D42" s="74" t="s">
        <v>90</v>
      </c>
      <c r="E42" s="85">
        <v>4680433.4400000004</v>
      </c>
      <c r="F42" s="85">
        <f t="shared" si="0"/>
        <v>621200.27075452916</v>
      </c>
      <c r="G42" s="85">
        <v>4678510</v>
      </c>
      <c r="H42" s="85">
        <f t="shared" ref="H42" si="91">+G42/7.5345</f>
        <v>620944.98639591213</v>
      </c>
      <c r="I42" s="85">
        <v>4887780.84</v>
      </c>
      <c r="J42" s="85">
        <f t="shared" ref="J42" si="92">+I42/7.5345</f>
        <v>648720</v>
      </c>
      <c r="K42" s="85">
        <v>4887780.84</v>
      </c>
      <c r="L42" s="85">
        <f t="shared" ref="L42" si="93">+K42/7.5345</f>
        <v>648720</v>
      </c>
      <c r="M42" s="85">
        <v>4887780.84</v>
      </c>
      <c r="N42" s="86">
        <f t="shared" ref="N42" si="94">+M42/7.5345</f>
        <v>648720</v>
      </c>
    </row>
    <row r="43" spans="1:14" ht="14.45" x14ac:dyDescent="0.3">
      <c r="A43" s="48">
        <v>3</v>
      </c>
      <c r="B43" s="55"/>
      <c r="C43" s="55"/>
      <c r="D43" s="49" t="s">
        <v>22</v>
      </c>
      <c r="E43" s="50">
        <v>4680433.4400000004</v>
      </c>
      <c r="F43" s="50">
        <f t="shared" si="0"/>
        <v>621200.27075452916</v>
      </c>
      <c r="G43" s="50">
        <v>4678510</v>
      </c>
      <c r="H43" s="50">
        <f t="shared" ref="H43" si="95">+G43/7.5345</f>
        <v>620944.98639591213</v>
      </c>
      <c r="I43" s="50">
        <v>4887780.84</v>
      </c>
      <c r="J43" s="50">
        <f t="shared" ref="J43" si="96">+I43/7.5345</f>
        <v>648720</v>
      </c>
      <c r="K43" s="50">
        <v>4887780.84</v>
      </c>
      <c r="L43" s="50">
        <f t="shared" ref="L43" si="97">+K43/7.5345</f>
        <v>648720</v>
      </c>
      <c r="M43" s="50">
        <v>4887780.84</v>
      </c>
      <c r="N43" s="58">
        <f t="shared" ref="N43" si="98">+M43/7.5345</f>
        <v>648720</v>
      </c>
    </row>
    <row r="44" spans="1:14" ht="14.45" x14ac:dyDescent="0.3">
      <c r="A44" s="48">
        <v>31</v>
      </c>
      <c r="B44" s="55"/>
      <c r="C44" s="55"/>
      <c r="D44" s="49" t="s">
        <v>25</v>
      </c>
      <c r="E44" s="50">
        <v>4590543.1100000003</v>
      </c>
      <c r="F44" s="50">
        <f t="shared" si="0"/>
        <v>609269.77370761172</v>
      </c>
      <c r="G44" s="50">
        <v>4637330</v>
      </c>
      <c r="H44" s="50">
        <f t="shared" ref="H44" si="99">+G44/7.5345</f>
        <v>615479.46114539786</v>
      </c>
      <c r="I44" s="50">
        <v>4887780.84</v>
      </c>
      <c r="J44" s="50">
        <f t="shared" ref="J44" si="100">+I44/7.5345</f>
        <v>648720</v>
      </c>
      <c r="K44" s="50">
        <v>4887780.84</v>
      </c>
      <c r="L44" s="50">
        <f t="shared" ref="L44" si="101">+K44/7.5345</f>
        <v>648720</v>
      </c>
      <c r="M44" s="50">
        <v>4887780.84</v>
      </c>
      <c r="N44" s="58">
        <f t="shared" ref="N44" si="102">+M44/7.5345</f>
        <v>648720</v>
      </c>
    </row>
    <row r="45" spans="1:14" ht="14.45" x14ac:dyDescent="0.3">
      <c r="A45" s="48">
        <v>32</v>
      </c>
      <c r="B45" s="55"/>
      <c r="C45" s="55"/>
      <c r="D45" s="49" t="s">
        <v>40</v>
      </c>
      <c r="E45" s="50">
        <v>49408.12</v>
      </c>
      <c r="F45" s="50">
        <f t="shared" si="0"/>
        <v>6557.5844448868538</v>
      </c>
      <c r="G45" s="50">
        <v>29380</v>
      </c>
      <c r="H45" s="50">
        <f t="shared" ref="H45" si="103">+G45/7.5345</f>
        <v>3899.3961112217135</v>
      </c>
      <c r="I45" s="50">
        <v>0</v>
      </c>
      <c r="J45" s="50">
        <f t="shared" ref="J45" si="104">+I45/7.5345</f>
        <v>0</v>
      </c>
      <c r="K45" s="50">
        <v>0</v>
      </c>
      <c r="L45" s="50">
        <f t="shared" ref="L45" si="105">+K45/7.5345</f>
        <v>0</v>
      </c>
      <c r="M45" s="50">
        <v>0</v>
      </c>
      <c r="N45" s="58">
        <f t="shared" ref="N45" si="106">+M45/7.5345</f>
        <v>0</v>
      </c>
    </row>
    <row r="46" spans="1:14" ht="14.45" x14ac:dyDescent="0.3">
      <c r="A46" s="48">
        <v>34</v>
      </c>
      <c r="B46" s="55"/>
      <c r="C46" s="55"/>
      <c r="D46" s="49" t="s">
        <v>80</v>
      </c>
      <c r="E46" s="53">
        <v>40482.21</v>
      </c>
      <c r="F46" s="53">
        <f t="shared" si="0"/>
        <v>5372.9126020306585</v>
      </c>
      <c r="G46" s="53">
        <v>11800</v>
      </c>
      <c r="H46" s="53">
        <f t="shared" ref="H46" si="107">+G46/7.5345</f>
        <v>1566.1291392925873</v>
      </c>
      <c r="I46" s="53">
        <v>0</v>
      </c>
      <c r="J46" s="53">
        <f t="shared" ref="J46" si="108">+I46/7.5345</f>
        <v>0</v>
      </c>
      <c r="K46" s="53">
        <v>0</v>
      </c>
      <c r="L46" s="53">
        <f t="shared" ref="L46" si="109">+K46/7.5345</f>
        <v>0</v>
      </c>
      <c r="M46" s="53">
        <v>0</v>
      </c>
      <c r="N46" s="59">
        <f t="shared" ref="N46" si="110">+M46/7.5345</f>
        <v>0</v>
      </c>
    </row>
    <row r="47" spans="1:14" ht="14.45" x14ac:dyDescent="0.3">
      <c r="A47" s="139">
        <v>2301</v>
      </c>
      <c r="B47" s="140"/>
      <c r="C47" s="141"/>
      <c r="D47" s="72" t="s">
        <v>91</v>
      </c>
      <c r="E47" s="73">
        <f>+E48+E52+E57+E61+E74+E78</f>
        <v>284866.75</v>
      </c>
      <c r="F47" s="73">
        <f t="shared" si="0"/>
        <v>37808.315083947171</v>
      </c>
      <c r="G47" s="73">
        <f>+G48+G52+G57+G61+G74+G78</f>
        <v>1461524</v>
      </c>
      <c r="H47" s="73">
        <f t="shared" ref="H47" si="111">+G47/7.5345</f>
        <v>193977.5698453779</v>
      </c>
      <c r="I47" s="73">
        <f>+I48+I52+I57+I61+I74+I78</f>
        <v>1356891.3000000003</v>
      </c>
      <c r="J47" s="73">
        <f t="shared" ref="J47" si="112">+I47/7.5345</f>
        <v>180090.4240493729</v>
      </c>
      <c r="K47" s="73">
        <f>+K48+K52+K57+K61+K74+K78</f>
        <v>32571.64</v>
      </c>
      <c r="L47" s="73">
        <f t="shared" ref="L47" si="113">+K47/7.5345</f>
        <v>4322.9995354701705</v>
      </c>
      <c r="M47" s="73">
        <f>+M48+M52+M57+M61+M74+M78</f>
        <v>32571.64</v>
      </c>
      <c r="N47" s="88">
        <f t="shared" ref="N47" si="114">+M47/7.5345</f>
        <v>4322.9995354701705</v>
      </c>
    </row>
    <row r="48" spans="1:14" s="83" customFormat="1" x14ac:dyDescent="0.25">
      <c r="A48" s="150" t="s">
        <v>92</v>
      </c>
      <c r="B48" s="151"/>
      <c r="C48" s="152"/>
      <c r="D48" s="74" t="s">
        <v>93</v>
      </c>
      <c r="E48" s="85">
        <f>+E49</f>
        <v>0</v>
      </c>
      <c r="F48" s="85">
        <f t="shared" si="0"/>
        <v>0</v>
      </c>
      <c r="G48" s="85">
        <f t="shared" ref="G48:M48" si="115">+G49</f>
        <v>22570</v>
      </c>
      <c r="H48" s="85">
        <f t="shared" ref="H48" si="116">+G48/7.5345</f>
        <v>2995.55378591811</v>
      </c>
      <c r="I48" s="85">
        <f t="shared" si="115"/>
        <v>22573.360000000001</v>
      </c>
      <c r="J48" s="85">
        <f t="shared" ref="J48" si="117">+I48/7.5345</f>
        <v>2995.9997345543829</v>
      </c>
      <c r="K48" s="85">
        <f t="shared" si="115"/>
        <v>22573.360000000001</v>
      </c>
      <c r="L48" s="85">
        <f t="shared" ref="L48" si="118">+K48/7.5345</f>
        <v>2995.9997345543829</v>
      </c>
      <c r="M48" s="85">
        <f t="shared" si="115"/>
        <v>22573.360000000001</v>
      </c>
      <c r="N48" s="86">
        <f t="shared" ref="N48" si="119">+M48/7.5345</f>
        <v>2995.9997345543829</v>
      </c>
    </row>
    <row r="49" spans="1:14" s="83" customFormat="1" ht="14.45" x14ac:dyDescent="0.3">
      <c r="A49" s="145">
        <v>11001</v>
      </c>
      <c r="B49" s="146"/>
      <c r="C49" s="147"/>
      <c r="D49" s="74" t="s">
        <v>94</v>
      </c>
      <c r="E49" s="85">
        <v>0</v>
      </c>
      <c r="F49" s="85">
        <f t="shared" si="0"/>
        <v>0</v>
      </c>
      <c r="G49" s="85">
        <v>22570</v>
      </c>
      <c r="H49" s="85">
        <f t="shared" ref="H49" si="120">+G49/7.5345</f>
        <v>2995.55378591811</v>
      </c>
      <c r="I49" s="85">
        <v>22573.360000000001</v>
      </c>
      <c r="J49" s="85">
        <f t="shared" ref="J49" si="121">+I49/7.5345</f>
        <v>2995.9997345543829</v>
      </c>
      <c r="K49" s="85">
        <v>22573.360000000001</v>
      </c>
      <c r="L49" s="85">
        <f t="shared" ref="L49" si="122">+K49/7.5345</f>
        <v>2995.9997345543829</v>
      </c>
      <c r="M49" s="85">
        <v>22573.360000000001</v>
      </c>
      <c r="N49" s="86">
        <f t="shared" ref="N49" si="123">+M49/7.5345</f>
        <v>2995.9997345543829</v>
      </c>
    </row>
    <row r="50" spans="1:14" ht="14.45" x14ac:dyDescent="0.3">
      <c r="A50" s="48">
        <v>3</v>
      </c>
      <c r="B50" s="55"/>
      <c r="C50" s="55"/>
      <c r="D50" s="49" t="s">
        <v>22</v>
      </c>
      <c r="E50" s="50">
        <v>0</v>
      </c>
      <c r="F50" s="50">
        <f t="shared" si="0"/>
        <v>0</v>
      </c>
      <c r="G50" s="50">
        <v>22570</v>
      </c>
      <c r="H50" s="50">
        <f t="shared" ref="H50" si="124">+G50/7.5345</f>
        <v>2995.55378591811</v>
      </c>
      <c r="I50" s="50">
        <v>22573.360000000001</v>
      </c>
      <c r="J50" s="50">
        <f t="shared" ref="J50" si="125">+I50/7.5345</f>
        <v>2995.9997345543829</v>
      </c>
      <c r="K50" s="50">
        <v>22573.360000000001</v>
      </c>
      <c r="L50" s="50">
        <f t="shared" ref="L50" si="126">+K50/7.5345</f>
        <v>2995.9997345543829</v>
      </c>
      <c r="M50" s="50">
        <v>22573.360000000001</v>
      </c>
      <c r="N50" s="58">
        <f t="shared" ref="N50" si="127">+M50/7.5345</f>
        <v>2995.9997345543829</v>
      </c>
    </row>
    <row r="51" spans="1:14" ht="14.45" x14ac:dyDescent="0.3">
      <c r="A51" s="48">
        <v>32</v>
      </c>
      <c r="B51" s="55"/>
      <c r="C51" s="55"/>
      <c r="D51" s="49" t="s">
        <v>40</v>
      </c>
      <c r="E51" s="50">
        <v>0</v>
      </c>
      <c r="F51" s="50">
        <f t="shared" si="0"/>
        <v>0</v>
      </c>
      <c r="G51" s="50">
        <v>22570</v>
      </c>
      <c r="H51" s="50">
        <f t="shared" ref="H51" si="128">+G51/7.5345</f>
        <v>2995.55378591811</v>
      </c>
      <c r="I51" s="50">
        <v>22573.360000000001</v>
      </c>
      <c r="J51" s="50">
        <f t="shared" ref="J51" si="129">+I51/7.5345</f>
        <v>2995.9997345543829</v>
      </c>
      <c r="K51" s="50">
        <v>22573.360000000001</v>
      </c>
      <c r="L51" s="50">
        <f t="shared" ref="L51" si="130">+K51/7.5345</f>
        <v>2995.9997345543829</v>
      </c>
      <c r="M51" s="50">
        <v>22573.360000000001</v>
      </c>
      <c r="N51" s="58">
        <f t="shared" ref="N51" si="131">+M51/7.5345</f>
        <v>2995.9997345543829</v>
      </c>
    </row>
    <row r="52" spans="1:14" s="83" customFormat="1" x14ac:dyDescent="0.25">
      <c r="A52" s="150" t="s">
        <v>95</v>
      </c>
      <c r="B52" s="151"/>
      <c r="C52" s="152"/>
      <c r="D52" s="75" t="s">
        <v>96</v>
      </c>
      <c r="E52" s="85">
        <f>+E53</f>
        <v>23738.48</v>
      </c>
      <c r="F52" s="85">
        <f t="shared" si="0"/>
        <v>3150.637733094432</v>
      </c>
      <c r="G52" s="85">
        <f t="shared" ref="G52:M52" si="132">+G53</f>
        <v>0</v>
      </c>
      <c r="H52" s="85">
        <f t="shared" ref="H52" si="133">+G52/7.5345</f>
        <v>0</v>
      </c>
      <c r="I52" s="85">
        <f t="shared" si="132"/>
        <v>0</v>
      </c>
      <c r="J52" s="85">
        <f t="shared" ref="J52" si="134">+I52/7.5345</f>
        <v>0</v>
      </c>
      <c r="K52" s="85">
        <f t="shared" si="132"/>
        <v>0</v>
      </c>
      <c r="L52" s="85">
        <f t="shared" ref="L52" si="135">+K52/7.5345</f>
        <v>0</v>
      </c>
      <c r="M52" s="85">
        <f t="shared" si="132"/>
        <v>0</v>
      </c>
      <c r="N52" s="86">
        <f t="shared" ref="N52" si="136">+M52/7.5345</f>
        <v>0</v>
      </c>
    </row>
    <row r="53" spans="1:14" s="83" customFormat="1" ht="14.45" x14ac:dyDescent="0.3">
      <c r="A53" s="145">
        <v>11001</v>
      </c>
      <c r="B53" s="146"/>
      <c r="C53" s="147"/>
      <c r="D53" s="74" t="s">
        <v>94</v>
      </c>
      <c r="E53" s="85">
        <v>23738.48</v>
      </c>
      <c r="F53" s="85">
        <f t="shared" si="0"/>
        <v>3150.637733094432</v>
      </c>
      <c r="G53" s="85">
        <v>0</v>
      </c>
      <c r="H53" s="85">
        <f t="shared" ref="H53" si="137">+G53/7.5345</f>
        <v>0</v>
      </c>
      <c r="I53" s="85">
        <v>0</v>
      </c>
      <c r="J53" s="85">
        <f t="shared" ref="J53" si="138">+I53/7.5345</f>
        <v>0</v>
      </c>
      <c r="K53" s="85">
        <v>0</v>
      </c>
      <c r="L53" s="85">
        <f t="shared" ref="L53" si="139">+K53/7.5345</f>
        <v>0</v>
      </c>
      <c r="M53" s="85">
        <v>0</v>
      </c>
      <c r="N53" s="86">
        <f t="shared" ref="N53" si="140">+M53/7.5345</f>
        <v>0</v>
      </c>
    </row>
    <row r="54" spans="1:14" ht="14.45" x14ac:dyDescent="0.3">
      <c r="A54" s="48">
        <v>3</v>
      </c>
      <c r="B54" s="55"/>
      <c r="C54" s="55"/>
      <c r="D54" s="49" t="s">
        <v>22</v>
      </c>
      <c r="E54" s="50">
        <v>23738.48</v>
      </c>
      <c r="F54" s="50">
        <f t="shared" si="0"/>
        <v>3150.637733094432</v>
      </c>
      <c r="G54" s="50">
        <v>0</v>
      </c>
      <c r="H54" s="50">
        <f t="shared" ref="H54" si="141">+G54/7.5345</f>
        <v>0</v>
      </c>
      <c r="I54" s="50">
        <v>0</v>
      </c>
      <c r="J54" s="50">
        <f t="shared" ref="J54" si="142">+I54/7.5345</f>
        <v>0</v>
      </c>
      <c r="K54" s="50">
        <v>0</v>
      </c>
      <c r="L54" s="50">
        <f t="shared" ref="L54" si="143">+K54/7.5345</f>
        <v>0</v>
      </c>
      <c r="M54" s="50">
        <v>0</v>
      </c>
      <c r="N54" s="58">
        <f t="shared" ref="N54" si="144">+M54/7.5345</f>
        <v>0</v>
      </c>
    </row>
    <row r="55" spans="1:14" ht="14.45" x14ac:dyDescent="0.3">
      <c r="A55" s="48">
        <v>31</v>
      </c>
      <c r="B55" s="55"/>
      <c r="C55" s="55"/>
      <c r="D55" s="49" t="s">
        <v>25</v>
      </c>
      <c r="E55" s="50">
        <v>22694.68</v>
      </c>
      <c r="F55" s="50">
        <f t="shared" si="0"/>
        <v>3012.1016656712454</v>
      </c>
      <c r="G55" s="50">
        <v>0</v>
      </c>
      <c r="H55" s="50">
        <f t="shared" ref="H55" si="145">+G55/7.5345</f>
        <v>0</v>
      </c>
      <c r="I55" s="50">
        <v>0</v>
      </c>
      <c r="J55" s="50">
        <f t="shared" ref="J55" si="146">+I55/7.5345</f>
        <v>0</v>
      </c>
      <c r="K55" s="50">
        <v>0</v>
      </c>
      <c r="L55" s="50">
        <f t="shared" ref="L55" si="147">+K55/7.5345</f>
        <v>0</v>
      </c>
      <c r="M55" s="50">
        <v>0</v>
      </c>
      <c r="N55" s="58">
        <f t="shared" ref="N55" si="148">+M55/7.5345</f>
        <v>0</v>
      </c>
    </row>
    <row r="56" spans="1:14" ht="14.45" x14ac:dyDescent="0.3">
      <c r="A56" s="48">
        <v>32</v>
      </c>
      <c r="B56" s="55"/>
      <c r="C56" s="55"/>
      <c r="D56" s="50" t="s">
        <v>40</v>
      </c>
      <c r="E56" s="50">
        <v>1043.8</v>
      </c>
      <c r="F56" s="50">
        <f t="shared" si="0"/>
        <v>138.53606742318667</v>
      </c>
      <c r="G56" s="50">
        <v>0</v>
      </c>
      <c r="H56" s="50">
        <f t="shared" ref="H56" si="149">+G56/7.5345</f>
        <v>0</v>
      </c>
      <c r="I56" s="50">
        <v>0</v>
      </c>
      <c r="J56" s="50">
        <f t="shared" ref="J56" si="150">+I56/7.5345</f>
        <v>0</v>
      </c>
      <c r="K56" s="50">
        <v>0</v>
      </c>
      <c r="L56" s="50">
        <f t="shared" ref="L56" si="151">+K56/7.5345</f>
        <v>0</v>
      </c>
      <c r="M56" s="50">
        <v>0</v>
      </c>
      <c r="N56" s="58">
        <f t="shared" ref="N56" si="152">+M56/7.5345</f>
        <v>0</v>
      </c>
    </row>
    <row r="57" spans="1:14" s="83" customFormat="1" x14ac:dyDescent="0.25">
      <c r="A57" s="150" t="s">
        <v>97</v>
      </c>
      <c r="B57" s="151"/>
      <c r="C57" s="152"/>
      <c r="D57" s="75" t="s">
        <v>98</v>
      </c>
      <c r="E57" s="85">
        <f>+E58</f>
        <v>919.5</v>
      </c>
      <c r="F57" s="85">
        <f t="shared" si="0"/>
        <v>122.03862233724865</v>
      </c>
      <c r="G57" s="85">
        <f t="shared" ref="G57:M57" si="153">+G58</f>
        <v>766</v>
      </c>
      <c r="H57" s="85">
        <f t="shared" ref="H57" si="154">+G57/7.5345</f>
        <v>101.66567124560355</v>
      </c>
      <c r="I57" s="85">
        <f t="shared" si="153"/>
        <v>0</v>
      </c>
      <c r="J57" s="85">
        <f t="shared" ref="J57" si="155">+I57/7.5345</f>
        <v>0</v>
      </c>
      <c r="K57" s="85">
        <f t="shared" si="153"/>
        <v>0</v>
      </c>
      <c r="L57" s="85">
        <f t="shared" ref="L57" si="156">+K57/7.5345</f>
        <v>0</v>
      </c>
      <c r="M57" s="85">
        <f t="shared" si="153"/>
        <v>0</v>
      </c>
      <c r="N57" s="86">
        <f t="shared" ref="N57" si="157">+M57/7.5345</f>
        <v>0</v>
      </c>
    </row>
    <row r="58" spans="1:14" s="83" customFormat="1" x14ac:dyDescent="0.25">
      <c r="A58" s="145">
        <v>53080</v>
      </c>
      <c r="B58" s="146"/>
      <c r="C58" s="147"/>
      <c r="D58" s="74" t="s">
        <v>99</v>
      </c>
      <c r="E58" s="85">
        <v>919.5</v>
      </c>
      <c r="F58" s="85">
        <f t="shared" si="0"/>
        <v>122.03862233724865</v>
      </c>
      <c r="G58" s="85">
        <v>766</v>
      </c>
      <c r="H58" s="85">
        <f t="shared" ref="H58" si="158">+G58/7.5345</f>
        <v>101.66567124560355</v>
      </c>
      <c r="I58" s="85">
        <v>0</v>
      </c>
      <c r="J58" s="85">
        <f t="shared" ref="J58" si="159">+I58/7.5345</f>
        <v>0</v>
      </c>
      <c r="K58" s="85">
        <v>0</v>
      </c>
      <c r="L58" s="85">
        <f t="shared" ref="L58" si="160">+K58/7.5345</f>
        <v>0</v>
      </c>
      <c r="M58" s="85">
        <v>0</v>
      </c>
      <c r="N58" s="86">
        <f t="shared" ref="N58" si="161">+M58/7.5345</f>
        <v>0</v>
      </c>
    </row>
    <row r="59" spans="1:14" x14ac:dyDescent="0.25">
      <c r="A59" s="90">
        <v>3</v>
      </c>
      <c r="B59" s="91"/>
      <c r="C59" s="91"/>
      <c r="D59" s="92" t="s">
        <v>22</v>
      </c>
      <c r="E59" s="93">
        <v>919.5</v>
      </c>
      <c r="F59" s="93">
        <f t="shared" si="0"/>
        <v>122.03862233724865</v>
      </c>
      <c r="G59" s="93">
        <v>766</v>
      </c>
      <c r="H59" s="93">
        <f t="shared" ref="H59" si="162">+G59/7.5345</f>
        <v>101.66567124560355</v>
      </c>
      <c r="I59" s="93">
        <v>0</v>
      </c>
      <c r="J59" s="93">
        <f t="shared" ref="J59" si="163">+I59/7.5345</f>
        <v>0</v>
      </c>
      <c r="K59" s="93">
        <v>0</v>
      </c>
      <c r="L59" s="93">
        <f t="shared" ref="L59" si="164">+K59/7.5345</f>
        <v>0</v>
      </c>
      <c r="M59" s="93">
        <v>0</v>
      </c>
      <c r="N59" s="94">
        <f t="shared" ref="N59" si="165">+M59/7.5345</f>
        <v>0</v>
      </c>
    </row>
    <row r="60" spans="1:14" ht="13.9" customHeight="1" x14ac:dyDescent="0.25">
      <c r="A60" s="48">
        <v>32</v>
      </c>
      <c r="B60" s="55"/>
      <c r="C60" s="55"/>
      <c r="D60" s="49" t="s">
        <v>40</v>
      </c>
      <c r="E60" s="50">
        <v>919.5</v>
      </c>
      <c r="F60" s="50">
        <f t="shared" si="0"/>
        <v>122.03862233724865</v>
      </c>
      <c r="G60" s="50">
        <v>766</v>
      </c>
      <c r="H60" s="50">
        <f t="shared" ref="H60" si="166">+G60/7.5345</f>
        <v>101.66567124560355</v>
      </c>
      <c r="I60" s="50">
        <v>0</v>
      </c>
      <c r="J60" s="50">
        <f t="shared" ref="J60" si="167">+I60/7.5345</f>
        <v>0</v>
      </c>
      <c r="K60" s="50">
        <v>0</v>
      </c>
      <c r="L60" s="50">
        <f t="shared" ref="L60" si="168">+K60/7.5345</f>
        <v>0</v>
      </c>
      <c r="M60" s="50">
        <v>0</v>
      </c>
      <c r="N60" s="58">
        <f t="shared" ref="N60" si="169">+M60/7.5345</f>
        <v>0</v>
      </c>
    </row>
    <row r="61" spans="1:14" s="83" customFormat="1" x14ac:dyDescent="0.25">
      <c r="A61" s="150" t="s">
        <v>100</v>
      </c>
      <c r="B61" s="151"/>
      <c r="C61" s="152"/>
      <c r="D61" s="75" t="s">
        <v>101</v>
      </c>
      <c r="E61" s="85">
        <f>+E62+E67</f>
        <v>258304.77</v>
      </c>
      <c r="F61" s="85">
        <f t="shared" si="0"/>
        <v>34282.934501294047</v>
      </c>
      <c r="G61" s="85">
        <f t="shared" ref="G61:M61" si="170">+G62+G67</f>
        <v>1428188</v>
      </c>
      <c r="H61" s="85">
        <f t="shared" ref="H61" si="171">+G61/7.5345</f>
        <v>189553.12230406795</v>
      </c>
      <c r="I61" s="85">
        <f t="shared" si="170"/>
        <v>1324319.6600000001</v>
      </c>
      <c r="J61" s="85">
        <f t="shared" ref="J61" si="172">+I61/7.5345</f>
        <v>175767.42451390272</v>
      </c>
      <c r="K61" s="85">
        <f t="shared" si="170"/>
        <v>0</v>
      </c>
      <c r="L61" s="85">
        <f t="shared" ref="L61" si="173">+K61/7.5345</f>
        <v>0</v>
      </c>
      <c r="M61" s="85">
        <f t="shared" si="170"/>
        <v>0</v>
      </c>
      <c r="N61" s="86">
        <f t="shared" ref="N61" si="174">+M61/7.5345</f>
        <v>0</v>
      </c>
    </row>
    <row r="62" spans="1:14" s="83" customFormat="1" x14ac:dyDescent="0.25">
      <c r="A62" s="145">
        <v>51001</v>
      </c>
      <c r="B62" s="146"/>
      <c r="C62" s="147"/>
      <c r="D62" s="74" t="s">
        <v>102</v>
      </c>
      <c r="E62" s="85">
        <v>0</v>
      </c>
      <c r="F62" s="85">
        <f t="shared" si="0"/>
        <v>0</v>
      </c>
      <c r="G62" s="85">
        <v>1124443</v>
      </c>
      <c r="H62" s="85">
        <f t="shared" ref="H62" si="175">+G62/7.5345</f>
        <v>149239.23286216735</v>
      </c>
      <c r="I62" s="85">
        <v>1005102.3</v>
      </c>
      <c r="J62" s="85">
        <f t="shared" ref="J62" si="176">+I62/7.5345</f>
        <v>133400</v>
      </c>
      <c r="K62" s="85">
        <v>0</v>
      </c>
      <c r="L62" s="85">
        <f t="shared" ref="L62" si="177">+K62/7.5345</f>
        <v>0</v>
      </c>
      <c r="M62" s="85">
        <v>0</v>
      </c>
      <c r="N62" s="86">
        <f t="shared" ref="N62" si="178">+M62/7.5345</f>
        <v>0</v>
      </c>
    </row>
    <row r="63" spans="1:14" x14ac:dyDescent="0.25">
      <c r="A63" s="48">
        <v>3</v>
      </c>
      <c r="B63" s="55"/>
      <c r="C63" s="55"/>
      <c r="D63" s="49" t="s">
        <v>22</v>
      </c>
      <c r="E63" s="50">
        <v>0</v>
      </c>
      <c r="F63" s="50">
        <f t="shared" si="0"/>
        <v>0</v>
      </c>
      <c r="G63" s="50">
        <v>51000</v>
      </c>
      <c r="H63" s="50">
        <f t="shared" ref="H63" si="179">+G63/7.5345</f>
        <v>6768.863229145928</v>
      </c>
      <c r="I63" s="50">
        <v>3013.8</v>
      </c>
      <c r="J63" s="50">
        <f t="shared" ref="J63" si="180">+I63/7.5345</f>
        <v>400</v>
      </c>
      <c r="K63" s="50">
        <v>0</v>
      </c>
      <c r="L63" s="50">
        <f t="shared" ref="L63" si="181">+K63/7.5345</f>
        <v>0</v>
      </c>
      <c r="M63" s="50">
        <v>0</v>
      </c>
      <c r="N63" s="58">
        <f t="shared" ref="N63" si="182">+M63/7.5345</f>
        <v>0</v>
      </c>
    </row>
    <row r="64" spans="1:14" x14ac:dyDescent="0.25">
      <c r="A64" s="48">
        <v>32</v>
      </c>
      <c r="B64" s="55"/>
      <c r="C64" s="55"/>
      <c r="D64" s="49" t="s">
        <v>40</v>
      </c>
      <c r="E64" s="50">
        <v>0</v>
      </c>
      <c r="F64" s="50">
        <f t="shared" si="0"/>
        <v>0</v>
      </c>
      <c r="G64" s="50">
        <v>51000</v>
      </c>
      <c r="H64" s="50">
        <f t="shared" ref="H64" si="183">+G64/7.5345</f>
        <v>6768.863229145928</v>
      </c>
      <c r="I64" s="50">
        <v>3013.8</v>
      </c>
      <c r="J64" s="50">
        <f t="shared" ref="J64" si="184">+I64/7.5345</f>
        <v>400</v>
      </c>
      <c r="K64" s="50">
        <v>0</v>
      </c>
      <c r="L64" s="50">
        <f t="shared" ref="L64" si="185">+K64/7.5345</f>
        <v>0</v>
      </c>
      <c r="M64" s="50">
        <v>0</v>
      </c>
      <c r="N64" s="58">
        <f t="shared" ref="N64" si="186">+M64/7.5345</f>
        <v>0</v>
      </c>
    </row>
    <row r="65" spans="1:14" x14ac:dyDescent="0.25">
      <c r="A65" s="48">
        <v>4</v>
      </c>
      <c r="B65" s="55"/>
      <c r="C65" s="55"/>
      <c r="D65" s="49" t="s">
        <v>5</v>
      </c>
      <c r="E65" s="50">
        <f>+E66</f>
        <v>0</v>
      </c>
      <c r="F65" s="50">
        <f t="shared" si="0"/>
        <v>0</v>
      </c>
      <c r="G65" s="50">
        <f t="shared" ref="G65:K65" si="187">+G66</f>
        <v>1073443</v>
      </c>
      <c r="H65" s="50">
        <f t="shared" ref="H65" si="188">+G65/7.5345</f>
        <v>142470.36963302142</v>
      </c>
      <c r="I65" s="50">
        <f t="shared" si="187"/>
        <v>1002088.5</v>
      </c>
      <c r="J65" s="50">
        <f t="shared" ref="J65" si="189">+I65/7.5345</f>
        <v>133000</v>
      </c>
      <c r="K65" s="50">
        <f t="shared" si="187"/>
        <v>0</v>
      </c>
      <c r="L65" s="50">
        <f t="shared" ref="L65" si="190">+K65/7.5345</f>
        <v>0</v>
      </c>
      <c r="M65" s="50">
        <f>+M66</f>
        <v>0</v>
      </c>
      <c r="N65" s="58">
        <f t="shared" ref="N65" si="191">+M65/7.5345</f>
        <v>0</v>
      </c>
    </row>
    <row r="66" spans="1:14" x14ac:dyDescent="0.25">
      <c r="A66" s="48">
        <v>42</v>
      </c>
      <c r="B66" s="55"/>
      <c r="C66" s="55"/>
      <c r="D66" s="52" t="s">
        <v>119</v>
      </c>
      <c r="E66" s="50">
        <v>0</v>
      </c>
      <c r="F66" s="50">
        <f t="shared" si="0"/>
        <v>0</v>
      </c>
      <c r="G66" s="50">
        <v>1073443</v>
      </c>
      <c r="H66" s="50">
        <f t="shared" ref="H66" si="192">+G66/7.5345</f>
        <v>142470.36963302142</v>
      </c>
      <c r="I66" s="50">
        <v>1002088.5</v>
      </c>
      <c r="J66" s="50">
        <f t="shared" ref="J66" si="193">+I66/7.5345</f>
        <v>133000</v>
      </c>
      <c r="K66" s="50">
        <v>0</v>
      </c>
      <c r="L66" s="50">
        <f t="shared" ref="L66" si="194">+K66/7.5345</f>
        <v>0</v>
      </c>
      <c r="M66" s="50">
        <v>0</v>
      </c>
      <c r="N66" s="58">
        <f t="shared" ref="N66" si="195">+M66/7.5345</f>
        <v>0</v>
      </c>
    </row>
    <row r="67" spans="1:14" s="83" customFormat="1" x14ac:dyDescent="0.25">
      <c r="A67" s="145">
        <v>58400</v>
      </c>
      <c r="B67" s="146"/>
      <c r="C67" s="147"/>
      <c r="D67" s="74" t="s">
        <v>103</v>
      </c>
      <c r="E67" s="85">
        <v>258304.77</v>
      </c>
      <c r="F67" s="85">
        <f t="shared" si="0"/>
        <v>34282.934501294047</v>
      </c>
      <c r="G67" s="85">
        <v>303745</v>
      </c>
      <c r="H67" s="85">
        <f t="shared" ref="H67" si="196">+G67/7.5345</f>
        <v>40313.889441900588</v>
      </c>
      <c r="I67" s="85">
        <v>319217.36000000004</v>
      </c>
      <c r="J67" s="85">
        <f t="shared" ref="J67" si="197">+I67/7.5345</f>
        <v>42367.424513902719</v>
      </c>
      <c r="K67" s="85">
        <v>0</v>
      </c>
      <c r="L67" s="85">
        <f t="shared" ref="L67" si="198">+K67/7.5345</f>
        <v>0</v>
      </c>
      <c r="M67" s="85">
        <v>0</v>
      </c>
      <c r="N67" s="86">
        <f t="shared" ref="N67" si="199">+M67/7.5345</f>
        <v>0</v>
      </c>
    </row>
    <row r="68" spans="1:14" x14ac:dyDescent="0.25">
      <c r="A68" s="48">
        <v>3</v>
      </c>
      <c r="B68" s="56"/>
      <c r="C68" s="56"/>
      <c r="D68" s="49" t="s">
        <v>22</v>
      </c>
      <c r="E68" s="50">
        <v>258304.77</v>
      </c>
      <c r="F68" s="50">
        <f t="shared" si="0"/>
        <v>34282.934501294047</v>
      </c>
      <c r="G68" s="50">
        <v>303745</v>
      </c>
      <c r="H68" s="50">
        <f t="shared" ref="H68" si="200">+G68/7.5345</f>
        <v>40313.889441900588</v>
      </c>
      <c r="I68" s="50">
        <v>281350.92000000004</v>
      </c>
      <c r="J68" s="50">
        <f t="shared" ref="J68" si="201">+I68/7.5345</f>
        <v>37341.684252438783</v>
      </c>
      <c r="K68" s="50">
        <v>0</v>
      </c>
      <c r="L68" s="50">
        <f t="shared" ref="L68" si="202">+K68/7.5345</f>
        <v>0</v>
      </c>
      <c r="M68" s="50">
        <v>0</v>
      </c>
      <c r="N68" s="58">
        <f t="shared" ref="N68" si="203">+M68/7.5345</f>
        <v>0</v>
      </c>
    </row>
    <row r="69" spans="1:14" x14ac:dyDescent="0.25">
      <c r="A69" s="48">
        <v>31</v>
      </c>
      <c r="B69" s="56"/>
      <c r="C69" s="56"/>
      <c r="D69" s="49" t="s">
        <v>25</v>
      </c>
      <c r="E69" s="50">
        <v>203593.93</v>
      </c>
      <c r="F69" s="50">
        <f t="shared" si="0"/>
        <v>27021.558165770784</v>
      </c>
      <c r="G69" s="50">
        <v>229100</v>
      </c>
      <c r="H69" s="50">
        <f t="shared" ref="H69" si="204">+G69/7.5345</f>
        <v>30406.795407790829</v>
      </c>
      <c r="I69" s="50">
        <v>215336.01</v>
      </c>
      <c r="J69" s="50">
        <f t="shared" ref="J69" si="205">+I69/7.5345</f>
        <v>28580</v>
      </c>
      <c r="K69" s="50">
        <v>0</v>
      </c>
      <c r="L69" s="50">
        <f t="shared" ref="L69" si="206">+K69/7.5345</f>
        <v>0</v>
      </c>
      <c r="M69" s="50">
        <v>0</v>
      </c>
      <c r="N69" s="58">
        <f t="shared" ref="N69" si="207">+M69/7.5345</f>
        <v>0</v>
      </c>
    </row>
    <row r="70" spans="1:14" x14ac:dyDescent="0.25">
      <c r="A70" s="48">
        <v>32</v>
      </c>
      <c r="B70" s="56"/>
      <c r="C70" s="56"/>
      <c r="D70" s="49" t="s">
        <v>40</v>
      </c>
      <c r="E70" s="50">
        <v>54315.840000000004</v>
      </c>
      <c r="F70" s="50">
        <f t="shared" si="0"/>
        <v>7208.9508261994824</v>
      </c>
      <c r="G70" s="50">
        <v>73845</v>
      </c>
      <c r="H70" s="50">
        <f t="shared" ref="H70" si="208">+G70/7.5345</f>
        <v>9800.9157873780605</v>
      </c>
      <c r="I70" s="50">
        <v>65261.460000000006</v>
      </c>
      <c r="J70" s="50">
        <f t="shared" ref="J70" si="209">+I70/7.5345</f>
        <v>8661.6842524387812</v>
      </c>
      <c r="K70" s="50">
        <v>0</v>
      </c>
      <c r="L70" s="50">
        <f t="shared" ref="L70" si="210">+K70/7.5345</f>
        <v>0</v>
      </c>
      <c r="M70" s="50">
        <v>0</v>
      </c>
      <c r="N70" s="58">
        <f t="shared" ref="N70" si="211">+M70/7.5345</f>
        <v>0</v>
      </c>
    </row>
    <row r="71" spans="1:14" x14ac:dyDescent="0.25">
      <c r="A71" s="48">
        <v>34</v>
      </c>
      <c r="B71" s="56"/>
      <c r="C71" s="56"/>
      <c r="D71" s="49" t="s">
        <v>80</v>
      </c>
      <c r="E71" s="50">
        <v>395</v>
      </c>
      <c r="F71" s="50">
        <f t="shared" si="0"/>
        <v>52.425509323777291</v>
      </c>
      <c r="G71" s="50">
        <v>800</v>
      </c>
      <c r="H71" s="50">
        <f t="shared" ref="H71" si="212">+G71/7.5345</f>
        <v>106.17824673170084</v>
      </c>
      <c r="I71" s="50">
        <v>753.45</v>
      </c>
      <c r="J71" s="50">
        <f t="shared" ref="J71" si="213">+I71/7.5345</f>
        <v>100</v>
      </c>
      <c r="K71" s="50">
        <v>0</v>
      </c>
      <c r="L71" s="50">
        <f t="shared" ref="L71" si="214">+K71/7.5345</f>
        <v>0</v>
      </c>
      <c r="M71" s="50">
        <v>0</v>
      </c>
      <c r="N71" s="58">
        <f t="shared" ref="N71" si="215">+M71/7.5345</f>
        <v>0</v>
      </c>
    </row>
    <row r="72" spans="1:14" x14ac:dyDescent="0.25">
      <c r="A72" s="48">
        <v>4</v>
      </c>
      <c r="B72" s="55"/>
      <c r="C72" s="55"/>
      <c r="D72" s="49" t="s">
        <v>5</v>
      </c>
      <c r="E72" s="50">
        <f>+E73</f>
        <v>0</v>
      </c>
      <c r="F72" s="50">
        <f t="shared" si="0"/>
        <v>0</v>
      </c>
      <c r="G72" s="50">
        <f t="shared" ref="G72:K72" si="216">+G73</f>
        <v>0</v>
      </c>
      <c r="H72" s="50">
        <f t="shared" ref="H72" si="217">+G72/7.5345</f>
        <v>0</v>
      </c>
      <c r="I72" s="50">
        <f t="shared" si="216"/>
        <v>37866.44</v>
      </c>
      <c r="J72" s="50">
        <f t="shared" ref="J72" si="218">+I72/7.5345</f>
        <v>5025.7402614639323</v>
      </c>
      <c r="K72" s="50">
        <f t="shared" si="216"/>
        <v>0</v>
      </c>
      <c r="L72" s="50">
        <f t="shared" ref="L72" si="219">+K72/7.5345</f>
        <v>0</v>
      </c>
      <c r="M72" s="50">
        <f>+M73</f>
        <v>0</v>
      </c>
      <c r="N72" s="58">
        <f t="shared" ref="N72" si="220">+M72/7.5345</f>
        <v>0</v>
      </c>
    </row>
    <row r="73" spans="1:14" x14ac:dyDescent="0.25">
      <c r="A73" s="48">
        <v>42</v>
      </c>
      <c r="B73" s="56"/>
      <c r="C73" s="56"/>
      <c r="D73" s="49" t="s">
        <v>119</v>
      </c>
      <c r="E73" s="53">
        <v>0</v>
      </c>
      <c r="F73" s="53">
        <f t="shared" si="0"/>
        <v>0</v>
      </c>
      <c r="G73" s="53">
        <v>0</v>
      </c>
      <c r="H73" s="53">
        <f t="shared" ref="H73" si="221">+G73/7.5345</f>
        <v>0</v>
      </c>
      <c r="I73" s="53">
        <v>37866.44</v>
      </c>
      <c r="J73" s="53">
        <f t="shared" ref="J73" si="222">+I73/7.5345</f>
        <v>5025.7402614639323</v>
      </c>
      <c r="K73" s="53">
        <v>0</v>
      </c>
      <c r="L73" s="53">
        <f t="shared" ref="L73" si="223">+K73/7.5345</f>
        <v>0</v>
      </c>
      <c r="M73" s="53">
        <v>0</v>
      </c>
      <c r="N73" s="59">
        <f t="shared" ref="N73" si="224">+M73/7.5345</f>
        <v>0</v>
      </c>
    </row>
    <row r="74" spans="1:14" s="83" customFormat="1" x14ac:dyDescent="0.25">
      <c r="A74" s="150" t="s">
        <v>104</v>
      </c>
      <c r="B74" s="151"/>
      <c r="C74" s="152"/>
      <c r="D74" s="75" t="s">
        <v>105</v>
      </c>
      <c r="E74" s="76">
        <f>+E75</f>
        <v>1904</v>
      </c>
      <c r="F74" s="76">
        <f t="shared" si="0"/>
        <v>252.70422722144798</v>
      </c>
      <c r="G74" s="76">
        <f t="shared" ref="G74:M74" si="225">+G75</f>
        <v>0</v>
      </c>
      <c r="H74" s="76">
        <f t="shared" ref="H74" si="226">+G74/7.5345</f>
        <v>0</v>
      </c>
      <c r="I74" s="76">
        <f t="shared" si="225"/>
        <v>0</v>
      </c>
      <c r="J74" s="76">
        <f t="shared" ref="J74" si="227">+I74/7.5345</f>
        <v>0</v>
      </c>
      <c r="K74" s="76">
        <f t="shared" si="225"/>
        <v>0</v>
      </c>
      <c r="L74" s="76">
        <f t="shared" ref="L74" si="228">+K74/7.5345</f>
        <v>0</v>
      </c>
      <c r="M74" s="76">
        <f t="shared" si="225"/>
        <v>0</v>
      </c>
      <c r="N74" s="77">
        <f t="shared" ref="N74" si="229">+M74/7.5345</f>
        <v>0</v>
      </c>
    </row>
    <row r="75" spans="1:14" s="83" customFormat="1" x14ac:dyDescent="0.25">
      <c r="A75" s="145">
        <v>53082</v>
      </c>
      <c r="B75" s="146"/>
      <c r="C75" s="147"/>
      <c r="D75" s="74" t="s">
        <v>90</v>
      </c>
      <c r="E75" s="85">
        <v>1904</v>
      </c>
      <c r="F75" s="85">
        <f t="shared" si="0"/>
        <v>252.70422722144798</v>
      </c>
      <c r="G75" s="85">
        <v>0</v>
      </c>
      <c r="H75" s="85">
        <f t="shared" ref="H75" si="230">+G75/7.5345</f>
        <v>0</v>
      </c>
      <c r="I75" s="85">
        <v>0</v>
      </c>
      <c r="J75" s="85">
        <f t="shared" ref="J75" si="231">+I75/7.5345</f>
        <v>0</v>
      </c>
      <c r="K75" s="85">
        <v>0</v>
      </c>
      <c r="L75" s="85">
        <f t="shared" ref="L75" si="232">+K75/7.5345</f>
        <v>0</v>
      </c>
      <c r="M75" s="85">
        <v>0</v>
      </c>
      <c r="N75" s="86">
        <f t="shared" ref="N75" si="233">+M75/7.5345</f>
        <v>0</v>
      </c>
    </row>
    <row r="76" spans="1:14" x14ac:dyDescent="0.25">
      <c r="A76" s="48">
        <v>3</v>
      </c>
      <c r="B76" s="55"/>
      <c r="C76" s="55"/>
      <c r="D76" s="49" t="s">
        <v>22</v>
      </c>
      <c r="E76" s="50">
        <v>1904</v>
      </c>
      <c r="F76" s="50">
        <f t="shared" si="0"/>
        <v>252.70422722144798</v>
      </c>
      <c r="G76" s="50">
        <v>0</v>
      </c>
      <c r="H76" s="50">
        <f t="shared" ref="H76" si="234">+G76/7.5345</f>
        <v>0</v>
      </c>
      <c r="I76" s="50">
        <v>0</v>
      </c>
      <c r="J76" s="50">
        <f t="shared" ref="J76" si="235">+I76/7.5345</f>
        <v>0</v>
      </c>
      <c r="K76" s="50">
        <v>0</v>
      </c>
      <c r="L76" s="50">
        <f t="shared" ref="L76" si="236">+K76/7.5345</f>
        <v>0</v>
      </c>
      <c r="M76" s="50">
        <v>0</v>
      </c>
      <c r="N76" s="58">
        <f t="shared" ref="N76" si="237">+M76/7.5345</f>
        <v>0</v>
      </c>
    </row>
    <row r="77" spans="1:14" x14ac:dyDescent="0.25">
      <c r="A77" s="48">
        <v>32</v>
      </c>
      <c r="B77" s="55"/>
      <c r="C77" s="55"/>
      <c r="D77" s="49" t="s">
        <v>40</v>
      </c>
      <c r="E77" s="53">
        <v>1904</v>
      </c>
      <c r="F77" s="53">
        <f t="shared" si="0"/>
        <v>252.70422722144798</v>
      </c>
      <c r="G77" s="53">
        <v>0</v>
      </c>
      <c r="H77" s="53">
        <f t="shared" ref="H77" si="238">+G77/7.5345</f>
        <v>0</v>
      </c>
      <c r="I77" s="53">
        <v>0</v>
      </c>
      <c r="J77" s="53">
        <f t="shared" ref="J77" si="239">+I77/7.5345</f>
        <v>0</v>
      </c>
      <c r="K77" s="53">
        <v>0</v>
      </c>
      <c r="L77" s="53">
        <f t="shared" ref="L77" si="240">+K77/7.5345</f>
        <v>0</v>
      </c>
      <c r="M77" s="53">
        <v>0</v>
      </c>
      <c r="N77" s="59">
        <f t="shared" ref="N77" si="241">+M77/7.5345</f>
        <v>0</v>
      </c>
    </row>
    <row r="78" spans="1:14" s="83" customFormat="1" x14ac:dyDescent="0.25">
      <c r="A78" s="150" t="s">
        <v>106</v>
      </c>
      <c r="B78" s="151"/>
      <c r="C78" s="152"/>
      <c r="D78" s="75" t="s">
        <v>107</v>
      </c>
      <c r="E78" s="76">
        <f>+E79</f>
        <v>0</v>
      </c>
      <c r="F78" s="76">
        <f t="shared" si="0"/>
        <v>0</v>
      </c>
      <c r="G78" s="76">
        <f t="shared" ref="G78:M78" si="242">+G79</f>
        <v>10000</v>
      </c>
      <c r="H78" s="76">
        <f t="shared" ref="H78" si="243">+G78/7.5345</f>
        <v>1327.2280841462605</v>
      </c>
      <c r="I78" s="76">
        <f t="shared" si="242"/>
        <v>9998.2799999999988</v>
      </c>
      <c r="J78" s="76">
        <f t="shared" ref="J78" si="244">+I78/7.5345</f>
        <v>1326.9998009157871</v>
      </c>
      <c r="K78" s="76">
        <f t="shared" si="242"/>
        <v>9998.2799999999988</v>
      </c>
      <c r="L78" s="76">
        <f t="shared" ref="L78" si="245">+K78/7.5345</f>
        <v>1326.9998009157871</v>
      </c>
      <c r="M78" s="76">
        <f t="shared" si="242"/>
        <v>9998.2799999999988</v>
      </c>
      <c r="N78" s="77">
        <f t="shared" ref="N78" si="246">+M78/7.5345</f>
        <v>1326.9998009157871</v>
      </c>
    </row>
    <row r="79" spans="1:14" s="83" customFormat="1" x14ac:dyDescent="0.25">
      <c r="A79" s="145">
        <v>11001</v>
      </c>
      <c r="B79" s="146"/>
      <c r="C79" s="147"/>
      <c r="D79" s="74" t="s">
        <v>94</v>
      </c>
      <c r="E79" s="85">
        <v>0</v>
      </c>
      <c r="F79" s="85">
        <f t="shared" si="0"/>
        <v>0</v>
      </c>
      <c r="G79" s="85">
        <v>10000</v>
      </c>
      <c r="H79" s="85">
        <f t="shared" ref="H79" si="247">+G79/7.5345</f>
        <v>1327.2280841462605</v>
      </c>
      <c r="I79" s="85">
        <v>9998.2799999999988</v>
      </c>
      <c r="J79" s="85">
        <f t="shared" ref="J79" si="248">+I79/7.5345</f>
        <v>1326.9998009157871</v>
      </c>
      <c r="K79" s="85">
        <v>9998.2799999999988</v>
      </c>
      <c r="L79" s="85">
        <f t="shared" ref="L79" si="249">+K79/7.5345</f>
        <v>1326.9998009157871</v>
      </c>
      <c r="M79" s="85">
        <v>9998.2799999999988</v>
      </c>
      <c r="N79" s="86">
        <f t="shared" ref="N79" si="250">+M79/7.5345</f>
        <v>1326.9998009157871</v>
      </c>
    </row>
    <row r="80" spans="1:14" x14ac:dyDescent="0.25">
      <c r="A80" s="48">
        <v>3</v>
      </c>
      <c r="B80" s="55"/>
      <c r="C80" s="55"/>
      <c r="D80" s="49" t="s">
        <v>22</v>
      </c>
      <c r="E80" s="50">
        <v>0</v>
      </c>
      <c r="F80" s="50">
        <f t="shared" si="0"/>
        <v>0</v>
      </c>
      <c r="G80" s="50">
        <v>10000</v>
      </c>
      <c r="H80" s="50">
        <f t="shared" ref="H80" si="251">+G80/7.5345</f>
        <v>1327.2280841462605</v>
      </c>
      <c r="I80" s="50">
        <v>9998.2799999999988</v>
      </c>
      <c r="J80" s="50">
        <f t="shared" ref="J80" si="252">+I80/7.5345</f>
        <v>1326.9998009157871</v>
      </c>
      <c r="K80" s="50">
        <v>9998.2799999999988</v>
      </c>
      <c r="L80" s="50">
        <f t="shared" ref="L80" si="253">+K80/7.5345</f>
        <v>1326.9998009157871</v>
      </c>
      <c r="M80" s="50">
        <v>9998.2799999999988</v>
      </c>
      <c r="N80" s="58">
        <f t="shared" ref="N80" si="254">+M80/7.5345</f>
        <v>1326.9998009157871</v>
      </c>
    </row>
    <row r="81" spans="1:14" x14ac:dyDescent="0.25">
      <c r="A81" s="48">
        <v>32</v>
      </c>
      <c r="B81" s="55"/>
      <c r="C81" s="55"/>
      <c r="D81" s="49" t="s">
        <v>40</v>
      </c>
      <c r="E81" s="53">
        <v>0</v>
      </c>
      <c r="F81" s="53">
        <f t="shared" si="0"/>
        <v>0</v>
      </c>
      <c r="G81" s="53">
        <v>10000</v>
      </c>
      <c r="H81" s="53">
        <f t="shared" ref="H81" si="255">+G81/7.5345</f>
        <v>1327.2280841462605</v>
      </c>
      <c r="I81" s="53">
        <v>9998.2799999999988</v>
      </c>
      <c r="J81" s="53">
        <f t="shared" ref="J81" si="256">+I81/7.5345</f>
        <v>1326.9998009157871</v>
      </c>
      <c r="K81" s="53">
        <v>9998.2799999999988</v>
      </c>
      <c r="L81" s="53">
        <f t="shared" ref="L81" si="257">+K81/7.5345</f>
        <v>1326.9998009157871</v>
      </c>
      <c r="M81" s="53">
        <v>9998.2799999999988</v>
      </c>
      <c r="N81" s="59">
        <f t="shared" ref="N81" si="258">+M81/7.5345</f>
        <v>1326.9998009157871</v>
      </c>
    </row>
    <row r="82" spans="1:14" ht="16.5" x14ac:dyDescent="0.25">
      <c r="A82" s="139">
        <v>2406</v>
      </c>
      <c r="B82" s="140"/>
      <c r="C82" s="141"/>
      <c r="D82" s="72" t="s">
        <v>108</v>
      </c>
      <c r="E82" s="73">
        <f>+E83+E87</f>
        <v>23645.55</v>
      </c>
      <c r="F82" s="73">
        <f t="shared" si="0"/>
        <v>3138.3038025084606</v>
      </c>
      <c r="G82" s="73">
        <v>121780</v>
      </c>
      <c r="H82" s="73">
        <f t="shared" ref="H82" si="259">+G82/7.5345</f>
        <v>16162.983608733161</v>
      </c>
      <c r="I82" s="73">
        <v>110003.7</v>
      </c>
      <c r="J82" s="73">
        <f>+I82/7.5345+J94</f>
        <v>14929.999999999998</v>
      </c>
      <c r="K82" s="73">
        <v>0</v>
      </c>
      <c r="L82" s="73">
        <f t="shared" ref="L82" si="260">+K82/7.5345</f>
        <v>0</v>
      </c>
      <c r="M82" s="73">
        <v>0</v>
      </c>
      <c r="N82" s="88">
        <f t="shared" ref="N82" si="261">+M82/7.5345</f>
        <v>0</v>
      </c>
    </row>
    <row r="83" spans="1:14" s="83" customFormat="1" x14ac:dyDescent="0.25">
      <c r="A83" s="150" t="s">
        <v>109</v>
      </c>
      <c r="B83" s="151"/>
      <c r="C83" s="152"/>
      <c r="D83" s="75" t="s">
        <v>110</v>
      </c>
      <c r="E83" s="76">
        <v>17395.55</v>
      </c>
      <c r="F83" s="76">
        <f t="shared" si="0"/>
        <v>2308.7862499170478</v>
      </c>
      <c r="G83" s="76">
        <v>121780</v>
      </c>
      <c r="H83" s="76">
        <f t="shared" ref="H83" si="262">+G83/7.5345</f>
        <v>16162.983608733161</v>
      </c>
      <c r="I83" s="76">
        <v>110003.7</v>
      </c>
      <c r="J83" s="76">
        <f t="shared" ref="J83" si="263">+I83/7.5345</f>
        <v>14599.999999999998</v>
      </c>
      <c r="K83" s="76">
        <v>0</v>
      </c>
      <c r="L83" s="76">
        <f t="shared" ref="L83" si="264">+K83/7.5345</f>
        <v>0</v>
      </c>
      <c r="M83" s="76">
        <v>0</v>
      </c>
      <c r="N83" s="77">
        <f t="shared" ref="N83" si="265">+M83/7.5345</f>
        <v>0</v>
      </c>
    </row>
    <row r="84" spans="1:14" s="83" customFormat="1" x14ac:dyDescent="0.25">
      <c r="A84" s="145">
        <v>32400</v>
      </c>
      <c r="B84" s="146"/>
      <c r="C84" s="147"/>
      <c r="D84" s="74" t="s">
        <v>85</v>
      </c>
      <c r="E84" s="85">
        <v>17395.55</v>
      </c>
      <c r="F84" s="85">
        <f t="shared" si="0"/>
        <v>2308.7862499170478</v>
      </c>
      <c r="G84" s="85">
        <v>121780</v>
      </c>
      <c r="H84" s="85">
        <f t="shared" ref="H84" si="266">+G84/7.5345</f>
        <v>16162.983608733161</v>
      </c>
      <c r="I84" s="85">
        <v>110003.7</v>
      </c>
      <c r="J84" s="85">
        <f t="shared" ref="J84" si="267">+I84/7.5345</f>
        <v>14599.999999999998</v>
      </c>
      <c r="K84" s="85">
        <v>0</v>
      </c>
      <c r="L84" s="85">
        <f t="shared" ref="L84" si="268">+K84/7.5345</f>
        <v>0</v>
      </c>
      <c r="M84" s="85">
        <v>0</v>
      </c>
      <c r="N84" s="86">
        <f t="shared" ref="N84" si="269">+M84/7.5345</f>
        <v>0</v>
      </c>
    </row>
    <row r="85" spans="1:14" x14ac:dyDescent="0.25">
      <c r="A85" s="48">
        <v>4</v>
      </c>
      <c r="B85" s="55"/>
      <c r="C85" s="55"/>
      <c r="D85" s="49" t="s">
        <v>5</v>
      </c>
      <c r="E85" s="50">
        <v>17395.55</v>
      </c>
      <c r="F85" s="50">
        <f t="shared" ref="F85:F107" si="270">+E85/7.5345</f>
        <v>2308.7862499170478</v>
      </c>
      <c r="G85" s="50">
        <v>121780</v>
      </c>
      <c r="H85" s="50">
        <f t="shared" ref="H85" si="271">+G85/7.5345</f>
        <v>16162.983608733161</v>
      </c>
      <c r="I85" s="50">
        <v>110003.7</v>
      </c>
      <c r="J85" s="50">
        <f t="shared" ref="J85" si="272">+I85/7.5345</f>
        <v>14599.999999999998</v>
      </c>
      <c r="K85" s="50">
        <v>0</v>
      </c>
      <c r="L85" s="50">
        <f t="shared" ref="L85" si="273">+K85/7.5345</f>
        <v>0</v>
      </c>
      <c r="M85" s="50">
        <v>0</v>
      </c>
      <c r="N85" s="58">
        <f t="shared" ref="N85" si="274">+M85/7.5345</f>
        <v>0</v>
      </c>
    </row>
    <row r="86" spans="1:14" x14ac:dyDescent="0.25">
      <c r="A86" s="48">
        <v>42</v>
      </c>
      <c r="B86" s="55"/>
      <c r="C86" s="55"/>
      <c r="D86" s="49" t="s">
        <v>119</v>
      </c>
      <c r="E86" s="53">
        <v>17395.55</v>
      </c>
      <c r="F86" s="53">
        <f t="shared" si="270"/>
        <v>2308.7862499170478</v>
      </c>
      <c r="G86" s="53">
        <v>121780</v>
      </c>
      <c r="H86" s="53">
        <f t="shared" ref="H86" si="275">+G86/7.5345</f>
        <v>16162.983608733161</v>
      </c>
      <c r="I86" s="53">
        <v>110003.7</v>
      </c>
      <c r="J86" s="53">
        <f t="shared" ref="J86" si="276">+I86/7.5345</f>
        <v>14599.999999999998</v>
      </c>
      <c r="K86" s="53">
        <v>0</v>
      </c>
      <c r="L86" s="53">
        <f t="shared" ref="L86" si="277">+K86/7.5345</f>
        <v>0</v>
      </c>
      <c r="M86" s="53">
        <v>0</v>
      </c>
      <c r="N86" s="59">
        <f t="shared" ref="N86" si="278">+M86/7.5345</f>
        <v>0</v>
      </c>
    </row>
    <row r="87" spans="1:14" s="83" customFormat="1" x14ac:dyDescent="0.25">
      <c r="A87" s="150" t="s">
        <v>111</v>
      </c>
      <c r="B87" s="151"/>
      <c r="C87" s="81"/>
      <c r="D87" s="75" t="s">
        <v>112</v>
      </c>
      <c r="E87" s="76">
        <f>+E88+E91</f>
        <v>6250</v>
      </c>
      <c r="F87" s="76">
        <f t="shared" si="270"/>
        <v>829.51755259141282</v>
      </c>
      <c r="G87" s="76">
        <f t="shared" ref="G87:M87" si="279">+G88+G91</f>
        <v>0</v>
      </c>
      <c r="H87" s="76">
        <f t="shared" ref="H87" si="280">+G87/7.5345</f>
        <v>0</v>
      </c>
      <c r="I87" s="76">
        <f t="shared" si="279"/>
        <v>0</v>
      </c>
      <c r="J87" s="76">
        <f t="shared" ref="J87" si="281">+I87/7.5345</f>
        <v>0</v>
      </c>
      <c r="K87" s="76">
        <f t="shared" si="279"/>
        <v>0</v>
      </c>
      <c r="L87" s="76">
        <f t="shared" ref="L87" si="282">+K87/7.5345</f>
        <v>0</v>
      </c>
      <c r="M87" s="76">
        <f t="shared" si="279"/>
        <v>0</v>
      </c>
      <c r="N87" s="77">
        <f t="shared" ref="N87" si="283">+M87/7.5345</f>
        <v>0</v>
      </c>
    </row>
    <row r="88" spans="1:14" s="83" customFormat="1" x14ac:dyDescent="0.25">
      <c r="A88" s="145">
        <v>11001</v>
      </c>
      <c r="B88" s="146"/>
      <c r="C88" s="82"/>
      <c r="D88" s="74" t="s">
        <v>94</v>
      </c>
      <c r="E88" s="85">
        <v>3000</v>
      </c>
      <c r="F88" s="85">
        <f t="shared" si="270"/>
        <v>398.16842524387812</v>
      </c>
      <c r="G88" s="85">
        <v>0</v>
      </c>
      <c r="H88" s="85">
        <f t="shared" ref="H88" si="284">+G88/7.5345</f>
        <v>0</v>
      </c>
      <c r="I88" s="85">
        <v>0</v>
      </c>
      <c r="J88" s="85">
        <f t="shared" ref="J88" si="285">+I88/7.5345</f>
        <v>0</v>
      </c>
      <c r="K88" s="85">
        <v>0</v>
      </c>
      <c r="L88" s="85">
        <f t="shared" ref="L88" si="286">+K88/7.5345</f>
        <v>0</v>
      </c>
      <c r="M88" s="85">
        <v>0</v>
      </c>
      <c r="N88" s="86">
        <f t="shared" ref="N88" si="287">+M88/7.5345</f>
        <v>0</v>
      </c>
    </row>
    <row r="89" spans="1:14" x14ac:dyDescent="0.25">
      <c r="A89" s="48">
        <v>4</v>
      </c>
      <c r="B89" s="55"/>
      <c r="C89" s="55"/>
      <c r="D89" s="49" t="s">
        <v>5</v>
      </c>
      <c r="E89" s="50">
        <v>3000</v>
      </c>
      <c r="F89" s="50">
        <f t="shared" si="270"/>
        <v>398.16842524387812</v>
      </c>
      <c r="G89" s="50">
        <v>0</v>
      </c>
      <c r="H89" s="50">
        <f t="shared" ref="H89" si="288">+G89/7.5345</f>
        <v>0</v>
      </c>
      <c r="I89" s="50">
        <v>0</v>
      </c>
      <c r="J89" s="50">
        <f t="shared" ref="J89" si="289">+I89/7.5345</f>
        <v>0</v>
      </c>
      <c r="K89" s="50">
        <v>0</v>
      </c>
      <c r="L89" s="50">
        <f t="shared" ref="L89" si="290">+K89/7.5345</f>
        <v>0</v>
      </c>
      <c r="M89" s="50">
        <v>0</v>
      </c>
      <c r="N89" s="58">
        <f t="shared" ref="N89" si="291">+M89/7.5345</f>
        <v>0</v>
      </c>
    </row>
    <row r="90" spans="1:14" x14ac:dyDescent="0.25">
      <c r="A90" s="48">
        <v>42</v>
      </c>
      <c r="B90" s="55"/>
      <c r="C90" s="55"/>
      <c r="D90" s="49" t="s">
        <v>119</v>
      </c>
      <c r="E90" s="50">
        <v>3000</v>
      </c>
      <c r="F90" s="50">
        <f t="shared" si="270"/>
        <v>398.16842524387812</v>
      </c>
      <c r="G90" s="50">
        <v>0</v>
      </c>
      <c r="H90" s="50">
        <f t="shared" ref="H90" si="292">+G90/7.5345</f>
        <v>0</v>
      </c>
      <c r="I90" s="50">
        <v>0</v>
      </c>
      <c r="J90" s="50">
        <f t="shared" ref="J90" si="293">+I90/7.5345</f>
        <v>0</v>
      </c>
      <c r="K90" s="50">
        <v>0</v>
      </c>
      <c r="L90" s="50">
        <f t="shared" ref="L90" si="294">+K90/7.5345</f>
        <v>0</v>
      </c>
      <c r="M90" s="50">
        <v>0</v>
      </c>
      <c r="N90" s="58">
        <f t="shared" ref="N90" si="295">+M90/7.5345</f>
        <v>0</v>
      </c>
    </row>
    <row r="91" spans="1:14" s="83" customFormat="1" x14ac:dyDescent="0.25">
      <c r="A91" s="145">
        <v>53082</v>
      </c>
      <c r="B91" s="146"/>
      <c r="C91" s="81"/>
      <c r="D91" s="85" t="s">
        <v>90</v>
      </c>
      <c r="E91" s="85">
        <v>3250</v>
      </c>
      <c r="F91" s="85">
        <f t="shared" si="270"/>
        <v>431.34912734753465</v>
      </c>
      <c r="G91" s="85">
        <v>0</v>
      </c>
      <c r="H91" s="85">
        <f t="shared" ref="H91" si="296">+G91/7.5345</f>
        <v>0</v>
      </c>
      <c r="I91" s="85">
        <v>0</v>
      </c>
      <c r="J91" s="85">
        <f t="shared" ref="J91" si="297">+I91/7.5345</f>
        <v>0</v>
      </c>
      <c r="K91" s="85">
        <v>0</v>
      </c>
      <c r="L91" s="85">
        <f t="shared" ref="L91" si="298">+K91/7.5345</f>
        <v>0</v>
      </c>
      <c r="M91" s="85">
        <v>0</v>
      </c>
      <c r="N91" s="86">
        <f t="shared" ref="N91" si="299">+M91/7.5345</f>
        <v>0</v>
      </c>
    </row>
    <row r="92" spans="1:14" x14ac:dyDescent="0.25">
      <c r="A92" s="48">
        <v>4</v>
      </c>
      <c r="B92" s="55"/>
      <c r="C92" s="55"/>
      <c r="D92" s="49" t="s">
        <v>5</v>
      </c>
      <c r="E92" s="50">
        <v>3250</v>
      </c>
      <c r="F92" s="50">
        <f t="shared" si="270"/>
        <v>431.34912734753465</v>
      </c>
      <c r="G92" s="50">
        <v>0</v>
      </c>
      <c r="H92" s="50">
        <f t="shared" ref="H92" si="300">+G92/7.5345</f>
        <v>0</v>
      </c>
      <c r="I92" s="50">
        <v>0</v>
      </c>
      <c r="J92" s="50">
        <f t="shared" ref="J92" si="301">+I92/7.5345</f>
        <v>0</v>
      </c>
      <c r="K92" s="50">
        <v>0</v>
      </c>
      <c r="L92" s="50">
        <f t="shared" ref="L92" si="302">+K92/7.5345</f>
        <v>0</v>
      </c>
      <c r="M92" s="50">
        <v>0</v>
      </c>
      <c r="N92" s="58">
        <f t="shared" ref="N92" si="303">+M92/7.5345</f>
        <v>0</v>
      </c>
    </row>
    <row r="93" spans="1:14" x14ac:dyDescent="0.25">
      <c r="A93" s="48">
        <v>42</v>
      </c>
      <c r="B93" s="55"/>
      <c r="C93" s="55"/>
      <c r="D93" s="49" t="s">
        <v>119</v>
      </c>
      <c r="E93" s="53">
        <v>3250</v>
      </c>
      <c r="F93" s="53">
        <f t="shared" si="270"/>
        <v>431.34912734753465</v>
      </c>
      <c r="G93" s="53">
        <v>0</v>
      </c>
      <c r="H93" s="53">
        <f t="shared" ref="H93:H97" si="304">+G93/7.5345</f>
        <v>0</v>
      </c>
      <c r="I93" s="53">
        <v>0</v>
      </c>
      <c r="J93" s="53">
        <f t="shared" ref="J93" si="305">+I93/7.5345</f>
        <v>0</v>
      </c>
      <c r="K93" s="53">
        <v>0</v>
      </c>
      <c r="L93" s="53">
        <f t="shared" ref="L93:L97" si="306">+K93/7.5345</f>
        <v>0</v>
      </c>
      <c r="M93" s="53">
        <v>0</v>
      </c>
      <c r="N93" s="59">
        <f t="shared" ref="N93:N97" si="307">+M93/7.5345</f>
        <v>0</v>
      </c>
    </row>
    <row r="94" spans="1:14" s="83" customFormat="1" x14ac:dyDescent="0.25">
      <c r="A94" s="150" t="s">
        <v>122</v>
      </c>
      <c r="B94" s="151"/>
      <c r="C94" s="81"/>
      <c r="D94" s="75" t="s">
        <v>123</v>
      </c>
      <c r="E94" s="76">
        <f>+E95</f>
        <v>0</v>
      </c>
      <c r="F94" s="76">
        <f t="shared" si="270"/>
        <v>0</v>
      </c>
      <c r="G94" s="76">
        <f t="shared" ref="G94" si="308">+F94/7.5345</f>
        <v>0</v>
      </c>
      <c r="H94" s="76">
        <f t="shared" si="304"/>
        <v>0</v>
      </c>
      <c r="I94" s="76">
        <f t="shared" ref="I94" si="309">+H94/7.5345</f>
        <v>0</v>
      </c>
      <c r="J94" s="76">
        <f>+J95</f>
        <v>330</v>
      </c>
      <c r="K94" s="76">
        <f t="shared" ref="K94" si="310">+J94/7.5345</f>
        <v>43.798526776826598</v>
      </c>
      <c r="L94" s="76">
        <f t="shared" si="306"/>
        <v>5.8130634782436257</v>
      </c>
      <c r="M94" s="76">
        <f t="shared" ref="M94" si="311">+M95+M98</f>
        <v>0</v>
      </c>
      <c r="N94" s="77">
        <f t="shared" si="307"/>
        <v>0</v>
      </c>
    </row>
    <row r="95" spans="1:14" s="83" customFormat="1" x14ac:dyDescent="0.25">
      <c r="A95" s="145">
        <v>11001</v>
      </c>
      <c r="B95" s="146"/>
      <c r="C95" s="82"/>
      <c r="D95" s="74" t="s">
        <v>94</v>
      </c>
      <c r="E95" s="85"/>
      <c r="F95" s="85">
        <f t="shared" si="270"/>
        <v>0</v>
      </c>
      <c r="G95" s="85">
        <v>0</v>
      </c>
      <c r="H95" s="85">
        <f t="shared" si="304"/>
        <v>0</v>
      </c>
      <c r="I95" s="85">
        <v>0</v>
      </c>
      <c r="J95" s="85">
        <f>SUM(J96)</f>
        <v>330</v>
      </c>
      <c r="K95" s="85">
        <v>0</v>
      </c>
      <c r="L95" s="85">
        <f t="shared" si="306"/>
        <v>0</v>
      </c>
      <c r="M95" s="85">
        <v>0</v>
      </c>
      <c r="N95" s="86">
        <f t="shared" si="307"/>
        <v>0</v>
      </c>
    </row>
    <row r="96" spans="1:14" x14ac:dyDescent="0.25">
      <c r="A96" s="48">
        <v>4</v>
      </c>
      <c r="B96" s="55"/>
      <c r="C96" s="55"/>
      <c r="D96" s="49" t="s">
        <v>5</v>
      </c>
      <c r="E96" s="50"/>
      <c r="F96" s="50">
        <v>0</v>
      </c>
      <c r="G96" s="50">
        <v>0</v>
      </c>
      <c r="H96" s="50">
        <f t="shared" si="304"/>
        <v>0</v>
      </c>
      <c r="I96" s="50">
        <v>0</v>
      </c>
      <c r="J96" s="50">
        <f>+J97</f>
        <v>330</v>
      </c>
      <c r="K96" s="50">
        <v>0</v>
      </c>
      <c r="L96" s="50">
        <f t="shared" si="306"/>
        <v>0</v>
      </c>
      <c r="M96" s="50">
        <v>0</v>
      </c>
      <c r="N96" s="58">
        <f t="shared" si="307"/>
        <v>0</v>
      </c>
    </row>
    <row r="97" spans="1:14" x14ac:dyDescent="0.25">
      <c r="A97" s="48">
        <v>42</v>
      </c>
      <c r="B97" s="55"/>
      <c r="C97" s="55"/>
      <c r="D97" s="49" t="s">
        <v>119</v>
      </c>
      <c r="E97" s="50"/>
      <c r="F97" s="53">
        <v>0</v>
      </c>
      <c r="G97" s="53">
        <v>0</v>
      </c>
      <c r="H97" s="53">
        <f t="shared" si="304"/>
        <v>0</v>
      </c>
      <c r="I97" s="53">
        <v>0</v>
      </c>
      <c r="J97" s="53">
        <v>330</v>
      </c>
      <c r="K97" s="53">
        <v>0</v>
      </c>
      <c r="L97" s="53">
        <f t="shared" si="306"/>
        <v>0</v>
      </c>
      <c r="M97" s="53">
        <v>0</v>
      </c>
      <c r="N97" s="59">
        <f t="shared" si="307"/>
        <v>0</v>
      </c>
    </row>
    <row r="98" spans="1:14" ht="16.5" x14ac:dyDescent="0.25">
      <c r="A98" s="139">
        <v>9108</v>
      </c>
      <c r="B98" s="140"/>
      <c r="C98" s="141"/>
      <c r="D98" s="72" t="s">
        <v>113</v>
      </c>
      <c r="E98" s="73">
        <v>7160.1399999999994</v>
      </c>
      <c r="F98" s="73">
        <f t="shared" si="270"/>
        <v>950.31388944190041</v>
      </c>
      <c r="G98" s="73">
        <v>24361</v>
      </c>
      <c r="H98" s="73">
        <f t="shared" ref="H98" si="312">+G98/7.5345</f>
        <v>3233.2603357887051</v>
      </c>
      <c r="I98" s="73">
        <v>0</v>
      </c>
      <c r="J98" s="73">
        <f t="shared" ref="J98" si="313">+I98/7.5345</f>
        <v>0</v>
      </c>
      <c r="K98" s="73">
        <v>0</v>
      </c>
      <c r="L98" s="73">
        <f t="shared" ref="L98" si="314">+K98/7.5345</f>
        <v>0</v>
      </c>
      <c r="M98" s="73">
        <v>0</v>
      </c>
      <c r="N98" s="88">
        <f t="shared" ref="N98" si="315">+M98/7.5345</f>
        <v>0</v>
      </c>
    </row>
    <row r="99" spans="1:14" s="83" customFormat="1" x14ac:dyDescent="0.25">
      <c r="A99" s="150" t="s">
        <v>114</v>
      </c>
      <c r="B99" s="151"/>
      <c r="C99" s="81"/>
      <c r="D99" s="75" t="s">
        <v>115</v>
      </c>
      <c r="E99" s="85">
        <v>7160.1399999999994</v>
      </c>
      <c r="F99" s="85">
        <f t="shared" si="270"/>
        <v>950.31388944190041</v>
      </c>
      <c r="G99" s="85">
        <v>24361</v>
      </c>
      <c r="H99" s="85">
        <f t="shared" ref="H99" si="316">+G99/7.5345</f>
        <v>3233.2603357887051</v>
      </c>
      <c r="I99" s="85">
        <v>0</v>
      </c>
      <c r="J99" s="85">
        <f t="shared" ref="J99" si="317">+I99/7.5345</f>
        <v>0</v>
      </c>
      <c r="K99" s="85">
        <v>0</v>
      </c>
      <c r="L99" s="85">
        <f t="shared" ref="L99" si="318">+K99/7.5345</f>
        <v>0</v>
      </c>
      <c r="M99" s="85">
        <v>0</v>
      </c>
      <c r="N99" s="86">
        <f t="shared" ref="N99" si="319">+M99/7.5345</f>
        <v>0</v>
      </c>
    </row>
    <row r="100" spans="1:14" s="83" customFormat="1" x14ac:dyDescent="0.25">
      <c r="A100" s="145">
        <v>11001</v>
      </c>
      <c r="B100" s="146"/>
      <c r="C100" s="81"/>
      <c r="D100" s="74" t="s">
        <v>94</v>
      </c>
      <c r="E100" s="85">
        <v>3408.2</v>
      </c>
      <c r="F100" s="85">
        <f t="shared" si="270"/>
        <v>452.34587563872844</v>
      </c>
      <c r="G100" s="85">
        <v>4833</v>
      </c>
      <c r="H100" s="85">
        <f t="shared" ref="H100" si="320">+G100/7.5345</f>
        <v>641.44933306788766</v>
      </c>
      <c r="I100" s="85">
        <v>0</v>
      </c>
      <c r="J100" s="85">
        <f t="shared" ref="J100" si="321">+I100/7.5345</f>
        <v>0</v>
      </c>
      <c r="K100" s="85">
        <v>0</v>
      </c>
      <c r="L100" s="85">
        <f t="shared" ref="L100" si="322">+K100/7.5345</f>
        <v>0</v>
      </c>
      <c r="M100" s="85">
        <v>0</v>
      </c>
      <c r="N100" s="86">
        <f t="shared" ref="N100" si="323">+M100/7.5345</f>
        <v>0</v>
      </c>
    </row>
    <row r="101" spans="1:14" x14ac:dyDescent="0.25">
      <c r="A101" s="48">
        <v>3</v>
      </c>
      <c r="B101" s="56"/>
      <c r="C101" s="56"/>
      <c r="D101" s="49" t="s">
        <v>22</v>
      </c>
      <c r="E101" s="50">
        <v>3408.2</v>
      </c>
      <c r="F101" s="50">
        <f t="shared" si="270"/>
        <v>452.34587563872844</v>
      </c>
      <c r="G101" s="50">
        <v>4833</v>
      </c>
      <c r="H101" s="50">
        <f t="shared" ref="H101" si="324">+G101/7.5345</f>
        <v>641.44933306788766</v>
      </c>
      <c r="I101" s="50">
        <v>0</v>
      </c>
      <c r="J101" s="50">
        <f t="shared" ref="J101" si="325">+I101/7.5345</f>
        <v>0</v>
      </c>
      <c r="K101" s="50">
        <v>0</v>
      </c>
      <c r="L101" s="50">
        <f t="shared" ref="L101" si="326">+K101/7.5345</f>
        <v>0</v>
      </c>
      <c r="M101" s="50">
        <v>0</v>
      </c>
      <c r="N101" s="58">
        <f t="shared" ref="N101" si="327">+M101/7.5345</f>
        <v>0</v>
      </c>
    </row>
    <row r="102" spans="1:14" x14ac:dyDescent="0.25">
      <c r="A102" s="48">
        <v>31</v>
      </c>
      <c r="B102" s="56"/>
      <c r="C102" s="56"/>
      <c r="D102" s="49" t="s">
        <v>25</v>
      </c>
      <c r="E102" s="50">
        <v>3258.02</v>
      </c>
      <c r="F102" s="50">
        <f t="shared" si="270"/>
        <v>432.41356427101994</v>
      </c>
      <c r="G102" s="50">
        <v>4678</v>
      </c>
      <c r="H102" s="50">
        <f t="shared" ref="H102" si="328">+G102/7.5345</f>
        <v>620.87729776362062</v>
      </c>
      <c r="I102" s="50">
        <v>0</v>
      </c>
      <c r="J102" s="50">
        <f t="shared" ref="J102" si="329">+I102/7.5345</f>
        <v>0</v>
      </c>
      <c r="K102" s="50">
        <v>0</v>
      </c>
      <c r="L102" s="50">
        <f t="shared" ref="L102" si="330">+K102/7.5345</f>
        <v>0</v>
      </c>
      <c r="M102" s="50">
        <v>0</v>
      </c>
      <c r="N102" s="58">
        <f t="shared" ref="N102" si="331">+M102/7.5345</f>
        <v>0</v>
      </c>
    </row>
    <row r="103" spans="1:14" x14ac:dyDescent="0.25">
      <c r="A103" s="48">
        <v>32</v>
      </c>
      <c r="B103" s="56"/>
      <c r="C103" s="56"/>
      <c r="D103" s="52" t="s">
        <v>40</v>
      </c>
      <c r="E103" s="50">
        <v>150.18</v>
      </c>
      <c r="F103" s="50">
        <f t="shared" si="270"/>
        <v>19.93231136770854</v>
      </c>
      <c r="G103" s="50">
        <v>155</v>
      </c>
      <c r="H103" s="50">
        <f t="shared" ref="H103" si="332">+G103/7.5345</f>
        <v>20.572035304267036</v>
      </c>
      <c r="I103" s="50">
        <v>0</v>
      </c>
      <c r="J103" s="50">
        <f t="shared" ref="J103" si="333">+I103/7.5345</f>
        <v>0</v>
      </c>
      <c r="K103" s="50">
        <v>0</v>
      </c>
      <c r="L103" s="50">
        <f t="shared" ref="L103" si="334">+K103/7.5345</f>
        <v>0</v>
      </c>
      <c r="M103" s="50">
        <v>0</v>
      </c>
      <c r="N103" s="58">
        <f t="shared" ref="N103" si="335">+M103/7.5345</f>
        <v>0</v>
      </c>
    </row>
    <row r="104" spans="1:14" s="83" customFormat="1" x14ac:dyDescent="0.25">
      <c r="A104" s="145">
        <v>51100</v>
      </c>
      <c r="B104" s="146"/>
      <c r="C104" s="81"/>
      <c r="D104" s="74" t="s">
        <v>116</v>
      </c>
      <c r="E104" s="85">
        <v>3751.94</v>
      </c>
      <c r="F104" s="85">
        <f t="shared" si="270"/>
        <v>497.96801380317203</v>
      </c>
      <c r="G104" s="85">
        <v>19528</v>
      </c>
      <c r="H104" s="85">
        <f t="shared" ref="H104" si="336">+G104/7.5345</f>
        <v>2591.8110027208172</v>
      </c>
      <c r="I104" s="85">
        <v>0</v>
      </c>
      <c r="J104" s="85">
        <f t="shared" ref="J104" si="337">+I104/7.5345</f>
        <v>0</v>
      </c>
      <c r="K104" s="85">
        <v>0</v>
      </c>
      <c r="L104" s="85">
        <f t="shared" ref="L104" si="338">+K104/7.5345</f>
        <v>0</v>
      </c>
      <c r="M104" s="85">
        <v>0</v>
      </c>
      <c r="N104" s="86">
        <f t="shared" ref="N104" si="339">+M104/7.5345</f>
        <v>0</v>
      </c>
    </row>
    <row r="105" spans="1:14" x14ac:dyDescent="0.25">
      <c r="A105" s="48">
        <v>3</v>
      </c>
      <c r="B105" s="56"/>
      <c r="C105" s="56"/>
      <c r="D105" s="49" t="s">
        <v>22</v>
      </c>
      <c r="E105" s="50">
        <v>3751.94</v>
      </c>
      <c r="F105" s="50">
        <f t="shared" si="270"/>
        <v>497.96801380317203</v>
      </c>
      <c r="G105" s="50">
        <v>19528</v>
      </c>
      <c r="H105" s="50">
        <f t="shared" ref="H105" si="340">+G105/7.5345</f>
        <v>2591.8110027208172</v>
      </c>
      <c r="I105" s="50">
        <v>0</v>
      </c>
      <c r="J105" s="50">
        <f t="shared" ref="J105" si="341">+I105/7.5345</f>
        <v>0</v>
      </c>
      <c r="K105" s="50">
        <v>0</v>
      </c>
      <c r="L105" s="50">
        <f t="shared" ref="L105" si="342">+K105/7.5345</f>
        <v>0</v>
      </c>
      <c r="M105" s="50">
        <v>0</v>
      </c>
      <c r="N105" s="58">
        <f t="shared" ref="N105" si="343">+M105/7.5345</f>
        <v>0</v>
      </c>
    </row>
    <row r="106" spans="1:14" ht="15.6" customHeight="1" x14ac:dyDescent="0.25">
      <c r="A106" s="48">
        <v>31</v>
      </c>
      <c r="B106" s="56"/>
      <c r="C106" s="56"/>
      <c r="D106" s="49" t="s">
        <v>25</v>
      </c>
      <c r="E106" s="50">
        <v>3586.62</v>
      </c>
      <c r="F106" s="50">
        <f t="shared" si="270"/>
        <v>476.02627911606606</v>
      </c>
      <c r="G106" s="50">
        <v>18901</v>
      </c>
      <c r="H106" s="50">
        <f t="shared" ref="H106" si="344">+G106/7.5345</f>
        <v>2508.5938018448469</v>
      </c>
      <c r="I106" s="50">
        <v>0</v>
      </c>
      <c r="J106" s="50">
        <f t="shared" ref="J106" si="345">+I106/7.5345</f>
        <v>0</v>
      </c>
      <c r="K106" s="50">
        <v>0</v>
      </c>
      <c r="L106" s="50">
        <f t="shared" ref="L106" si="346">+K106/7.5345</f>
        <v>0</v>
      </c>
      <c r="M106" s="50">
        <v>0</v>
      </c>
      <c r="N106" s="58">
        <f t="shared" ref="N106" si="347">+M106/7.5345</f>
        <v>0</v>
      </c>
    </row>
    <row r="107" spans="1:14" x14ac:dyDescent="0.25">
      <c r="A107" s="51">
        <v>32</v>
      </c>
      <c r="B107" s="57"/>
      <c r="C107" s="57"/>
      <c r="D107" s="52" t="s">
        <v>40</v>
      </c>
      <c r="E107" s="53">
        <v>165.32</v>
      </c>
      <c r="F107" s="53">
        <f t="shared" si="270"/>
        <v>21.941734687105978</v>
      </c>
      <c r="G107" s="53">
        <v>627</v>
      </c>
      <c r="H107" s="53">
        <f t="shared" ref="H107" si="348">+G107/7.5345</f>
        <v>83.217200875970534</v>
      </c>
      <c r="I107" s="53">
        <v>0</v>
      </c>
      <c r="J107" s="53">
        <f t="shared" ref="J107" si="349">+I107/7.5345</f>
        <v>0</v>
      </c>
      <c r="K107" s="53">
        <v>0</v>
      </c>
      <c r="L107" s="53">
        <f t="shared" ref="L107" si="350">+K107/7.5345</f>
        <v>0</v>
      </c>
      <c r="M107" s="53">
        <v>0</v>
      </c>
      <c r="N107" s="59">
        <f t="shared" ref="N107" si="351">+M107/7.5345</f>
        <v>0</v>
      </c>
    </row>
    <row r="108" spans="1:14" ht="15.75" x14ac:dyDescent="0.25">
      <c r="A108" s="153" t="s">
        <v>126</v>
      </c>
      <c r="B108"/>
      <c r="C108"/>
      <c r="D108"/>
      <c r="E108" s="154"/>
      <c r="F108" s="156" t="s">
        <v>127</v>
      </c>
      <c r="G108" s="156"/>
      <c r="H108" s="156"/>
      <c r="I108" s="84"/>
      <c r="J108" s="84"/>
      <c r="K108" s="54"/>
      <c r="L108" s="54"/>
      <c r="M108" s="54"/>
      <c r="N108" s="54"/>
    </row>
    <row r="109" spans="1:14" ht="15.75" x14ac:dyDescent="0.25">
      <c r="A109" s="153" t="s">
        <v>129</v>
      </c>
      <c r="B109"/>
      <c r="C109"/>
      <c r="D109"/>
      <c r="E109" s="154"/>
      <c r="F109" s="157" t="s">
        <v>128</v>
      </c>
      <c r="G109" s="157"/>
      <c r="H109" s="157"/>
      <c r="I109" s="84"/>
      <c r="J109" s="84"/>
      <c r="K109" s="84"/>
      <c r="L109" s="84"/>
      <c r="M109" s="84"/>
      <c r="N109" s="84"/>
    </row>
    <row r="110" spans="1:14" ht="15.75" x14ac:dyDescent="0.25">
      <c r="A110" s="155" t="s">
        <v>125</v>
      </c>
      <c r="E110" s="154"/>
      <c r="F110"/>
      <c r="G110"/>
      <c r="H110"/>
      <c r="I110" s="84"/>
      <c r="J110" s="84"/>
      <c r="K110" s="84"/>
      <c r="L110" s="84"/>
      <c r="M110" s="84"/>
      <c r="N110" s="84"/>
    </row>
    <row r="111" spans="1:14" x14ac:dyDescent="0.25">
      <c r="E111" s="84"/>
      <c r="F111" s="84"/>
      <c r="G111" s="84"/>
      <c r="H111" s="84"/>
      <c r="I111" s="84"/>
      <c r="J111" s="84"/>
      <c r="K111" s="84"/>
      <c r="L111" s="84"/>
      <c r="M111" s="84"/>
      <c r="N111" s="84"/>
    </row>
    <row r="112" spans="1:14" x14ac:dyDescent="0.25">
      <c r="E112" s="84"/>
      <c r="F112" s="84"/>
      <c r="G112" s="84"/>
      <c r="H112" s="84"/>
      <c r="I112" s="84"/>
      <c r="J112" s="84"/>
      <c r="K112" s="84"/>
      <c r="L112" s="84"/>
      <c r="M112" s="84"/>
      <c r="N112" s="84"/>
    </row>
    <row r="113" spans="5:14" x14ac:dyDescent="0.25">
      <c r="E113" s="84"/>
      <c r="F113" s="84"/>
      <c r="G113" s="84"/>
      <c r="H113" s="84"/>
      <c r="I113" s="84"/>
      <c r="J113" s="84"/>
      <c r="K113" s="84"/>
      <c r="L113" s="84"/>
      <c r="M113" s="84"/>
      <c r="N113" s="84"/>
    </row>
    <row r="114" spans="5:14" x14ac:dyDescent="0.25">
      <c r="E114" s="84"/>
      <c r="F114" s="84"/>
      <c r="G114" s="84"/>
      <c r="H114" s="84"/>
      <c r="I114" s="84"/>
      <c r="J114" s="84"/>
      <c r="K114" s="84"/>
      <c r="L114" s="84"/>
      <c r="M114" s="84"/>
      <c r="N114" s="84"/>
    </row>
    <row r="115" spans="5:14" x14ac:dyDescent="0.25">
      <c r="E115" s="84"/>
      <c r="F115" s="84"/>
      <c r="G115" s="84"/>
      <c r="H115" s="84"/>
      <c r="I115" s="84"/>
      <c r="J115" s="84"/>
      <c r="K115" s="84"/>
      <c r="L115" s="84"/>
      <c r="M115" s="84"/>
      <c r="N115" s="84"/>
    </row>
    <row r="116" spans="5:14" x14ac:dyDescent="0.25">
      <c r="E116" s="84"/>
      <c r="F116" s="84"/>
      <c r="G116" s="84"/>
      <c r="H116" s="84"/>
      <c r="I116" s="84"/>
      <c r="J116" s="84"/>
      <c r="K116" s="84"/>
      <c r="L116" s="84"/>
      <c r="M116" s="84"/>
      <c r="N116" s="84"/>
    </row>
    <row r="117" spans="5:14" x14ac:dyDescent="0.25">
      <c r="E117" s="84"/>
      <c r="F117" s="84"/>
      <c r="G117" s="84"/>
      <c r="H117" s="84"/>
      <c r="I117" s="84"/>
      <c r="J117" s="84"/>
      <c r="K117" s="84"/>
      <c r="L117" s="84"/>
      <c r="M117" s="84"/>
      <c r="N117" s="84"/>
    </row>
    <row r="118" spans="5:14" x14ac:dyDescent="0.25">
      <c r="E118" s="84"/>
      <c r="F118" s="84"/>
      <c r="G118" s="84"/>
      <c r="H118" s="84"/>
      <c r="I118" s="84"/>
      <c r="J118" s="84"/>
      <c r="K118" s="84"/>
      <c r="L118" s="84"/>
      <c r="M118" s="84"/>
      <c r="N118" s="84"/>
    </row>
    <row r="119" spans="5:14" x14ac:dyDescent="0.25">
      <c r="E119" s="84"/>
      <c r="F119" s="84"/>
      <c r="G119" s="84"/>
      <c r="H119" s="84"/>
      <c r="I119" s="84"/>
      <c r="J119" s="84"/>
      <c r="K119" s="84"/>
      <c r="L119" s="84"/>
      <c r="M119" s="84"/>
      <c r="N119" s="84"/>
    </row>
    <row r="120" spans="5:14" x14ac:dyDescent="0.25">
      <c r="E120" s="84"/>
      <c r="F120" s="84"/>
      <c r="G120" s="84"/>
      <c r="H120" s="84"/>
      <c r="I120" s="84"/>
      <c r="J120" s="84"/>
      <c r="K120" s="84"/>
      <c r="L120" s="84"/>
      <c r="M120" s="84"/>
      <c r="N120" s="84"/>
    </row>
    <row r="121" spans="5:14" x14ac:dyDescent="0.25">
      <c r="E121" s="84"/>
      <c r="F121" s="84"/>
      <c r="G121" s="84"/>
      <c r="H121" s="84"/>
      <c r="I121" s="84"/>
      <c r="J121" s="84"/>
      <c r="K121" s="84"/>
      <c r="L121" s="84"/>
      <c r="M121" s="84"/>
      <c r="N121" s="84"/>
    </row>
  </sheetData>
  <mergeCells count="57">
    <mergeCell ref="F108:H108"/>
    <mergeCell ref="F109:H109"/>
    <mergeCell ref="A91:B91"/>
    <mergeCell ref="A99:B99"/>
    <mergeCell ref="A100:B100"/>
    <mergeCell ref="A104:B104"/>
    <mergeCell ref="A98:C98"/>
    <mergeCell ref="A94:B94"/>
    <mergeCell ref="A95:B95"/>
    <mergeCell ref="A88:B88"/>
    <mergeCell ref="A61:C61"/>
    <mergeCell ref="A62:C62"/>
    <mergeCell ref="A67:C67"/>
    <mergeCell ref="A74:C74"/>
    <mergeCell ref="A75:C75"/>
    <mergeCell ref="A78:C78"/>
    <mergeCell ref="A79:C79"/>
    <mergeCell ref="A82:C82"/>
    <mergeCell ref="A83:C83"/>
    <mergeCell ref="A84:C84"/>
    <mergeCell ref="A87:B87"/>
    <mergeCell ref="A58:C58"/>
    <mergeCell ref="A32:C32"/>
    <mergeCell ref="A35:C35"/>
    <mergeCell ref="A38:C38"/>
    <mergeCell ref="A41:C41"/>
    <mergeCell ref="A42:C42"/>
    <mergeCell ref="A47:C47"/>
    <mergeCell ref="A48:C48"/>
    <mergeCell ref="A49:C49"/>
    <mergeCell ref="A52:C52"/>
    <mergeCell ref="A53:C53"/>
    <mergeCell ref="A57:C57"/>
    <mergeCell ref="A31:C31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7:C27"/>
    <mergeCell ref="A28:C28"/>
    <mergeCell ref="A14:C14"/>
    <mergeCell ref="A1:M1"/>
    <mergeCell ref="A3:M3"/>
    <mergeCell ref="A5:C5"/>
    <mergeCell ref="A6:C6"/>
    <mergeCell ref="A7:C7"/>
    <mergeCell ref="A8:C8"/>
    <mergeCell ref="A9:C9"/>
    <mergeCell ref="A10:C10"/>
    <mergeCell ref="A11:C11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zoomScale="90" zoomScaleNormal="90" workbookViewId="0">
      <selection activeCell="E101" sqref="E101"/>
    </sheetView>
  </sheetViews>
  <sheetFormatPr defaultColWidth="8.85546875" defaultRowHeight="15" x14ac:dyDescent="0.25"/>
  <cols>
    <col min="1" max="1" width="12" style="61" customWidth="1"/>
    <col min="2" max="2" width="8.42578125" style="61" hidden="1" customWidth="1"/>
    <col min="3" max="3" width="8.7109375" style="61" hidden="1" customWidth="1"/>
    <col min="4" max="4" width="39.140625" style="61" bestFit="1" customWidth="1"/>
    <col min="5" max="9" width="25.28515625" style="61" customWidth="1"/>
    <col min="10" max="16384" width="8.85546875" style="61"/>
  </cols>
  <sheetData>
    <row r="1" spans="1:9" ht="42" customHeight="1" x14ac:dyDescent="0.25">
      <c r="A1" s="100" t="s">
        <v>67</v>
      </c>
      <c r="B1" s="100"/>
      <c r="C1" s="100"/>
      <c r="D1" s="100"/>
      <c r="E1" s="100"/>
      <c r="F1" s="100"/>
      <c r="G1" s="100"/>
      <c r="H1" s="100"/>
      <c r="I1" s="100"/>
    </row>
    <row r="2" spans="1:9" ht="17.45" x14ac:dyDescent="0.3">
      <c r="A2" s="30"/>
      <c r="B2" s="30"/>
      <c r="C2" s="30"/>
      <c r="D2" s="30"/>
      <c r="E2" s="30"/>
      <c r="F2" s="30"/>
      <c r="G2" s="30"/>
      <c r="H2" s="6"/>
      <c r="I2" s="6"/>
    </row>
    <row r="3" spans="1:9" ht="18" customHeight="1" x14ac:dyDescent="0.3">
      <c r="A3" s="100" t="s">
        <v>36</v>
      </c>
      <c r="B3" s="123"/>
      <c r="C3" s="123"/>
      <c r="D3" s="123"/>
      <c r="E3" s="123"/>
      <c r="F3" s="123"/>
      <c r="G3" s="123"/>
      <c r="H3" s="123"/>
      <c r="I3" s="123"/>
    </row>
    <row r="4" spans="1:9" ht="17.45" x14ac:dyDescent="0.3">
      <c r="A4" s="30"/>
      <c r="B4" s="30"/>
      <c r="C4" s="30"/>
      <c r="D4" s="30"/>
      <c r="E4" s="30"/>
      <c r="F4" s="30"/>
      <c r="G4" s="30"/>
      <c r="H4" s="6"/>
      <c r="I4" s="6"/>
    </row>
    <row r="5" spans="1:9" ht="25.5" x14ac:dyDescent="0.25">
      <c r="A5" s="124" t="s">
        <v>38</v>
      </c>
      <c r="B5" s="125"/>
      <c r="C5" s="126"/>
      <c r="D5" s="62" t="s">
        <v>39</v>
      </c>
      <c r="E5" s="62" t="s">
        <v>12</v>
      </c>
      <c r="F5" s="63" t="s">
        <v>13</v>
      </c>
      <c r="G5" s="63" t="s">
        <v>60</v>
      </c>
      <c r="H5" s="63" t="s">
        <v>61</v>
      </c>
      <c r="I5" s="63" t="s">
        <v>62</v>
      </c>
    </row>
    <row r="6" spans="1:9" ht="14.45" hidden="1" x14ac:dyDescent="0.3">
      <c r="A6" s="127" t="s">
        <v>45</v>
      </c>
      <c r="B6" s="128"/>
      <c r="C6" s="129"/>
      <c r="D6" s="64" t="s">
        <v>46</v>
      </c>
      <c r="E6" s="65"/>
      <c r="F6" s="66"/>
      <c r="G6" s="66"/>
      <c r="H6" s="66"/>
      <c r="I6" s="66"/>
    </row>
    <row r="7" spans="1:9" ht="14.45" hidden="1" x14ac:dyDescent="0.3">
      <c r="A7" s="127" t="s">
        <v>47</v>
      </c>
      <c r="B7" s="128"/>
      <c r="C7" s="129"/>
      <c r="D7" s="64" t="s">
        <v>48</v>
      </c>
      <c r="E7" s="65"/>
      <c r="F7" s="66"/>
      <c r="G7" s="66"/>
      <c r="H7" s="66"/>
      <c r="I7" s="66"/>
    </row>
    <row r="8" spans="1:9" ht="14.45" hidden="1" x14ac:dyDescent="0.3">
      <c r="A8" s="120" t="s">
        <v>49</v>
      </c>
      <c r="B8" s="121"/>
      <c r="C8" s="122"/>
      <c r="D8" s="67" t="s">
        <v>50</v>
      </c>
      <c r="E8" s="65"/>
      <c r="F8" s="66"/>
      <c r="G8" s="66"/>
      <c r="H8" s="66"/>
      <c r="I8" s="68"/>
    </row>
    <row r="9" spans="1:9" ht="14.45" hidden="1" x14ac:dyDescent="0.3">
      <c r="A9" s="130">
        <v>3</v>
      </c>
      <c r="B9" s="131"/>
      <c r="C9" s="132"/>
      <c r="D9" s="69" t="s">
        <v>24</v>
      </c>
      <c r="E9" s="65"/>
      <c r="F9" s="66"/>
      <c r="G9" s="66"/>
      <c r="H9" s="66"/>
      <c r="I9" s="68"/>
    </row>
    <row r="10" spans="1:9" ht="14.45" hidden="1" x14ac:dyDescent="0.3">
      <c r="A10" s="133">
        <v>31</v>
      </c>
      <c r="B10" s="134"/>
      <c r="C10" s="135"/>
      <c r="D10" s="69" t="s">
        <v>25</v>
      </c>
      <c r="E10" s="65"/>
      <c r="F10" s="66"/>
      <c r="G10" s="66"/>
      <c r="H10" s="66"/>
      <c r="I10" s="68"/>
    </row>
    <row r="11" spans="1:9" ht="14.45" hidden="1" x14ac:dyDescent="0.3">
      <c r="A11" s="133">
        <v>32</v>
      </c>
      <c r="B11" s="134"/>
      <c r="C11" s="135"/>
      <c r="D11" s="69" t="s">
        <v>40</v>
      </c>
      <c r="E11" s="65"/>
      <c r="F11" s="66"/>
      <c r="G11" s="66"/>
      <c r="H11" s="66"/>
      <c r="I11" s="68"/>
    </row>
    <row r="12" spans="1:9" ht="14.45" hidden="1" x14ac:dyDescent="0.3">
      <c r="A12" s="127" t="s">
        <v>45</v>
      </c>
      <c r="B12" s="128"/>
      <c r="C12" s="129"/>
      <c r="D12" s="64" t="s">
        <v>46</v>
      </c>
      <c r="E12" s="65"/>
      <c r="F12" s="66"/>
      <c r="G12" s="66"/>
      <c r="H12" s="66"/>
      <c r="I12" s="66"/>
    </row>
    <row r="13" spans="1:9" ht="14.25" hidden="1" customHeight="1" x14ac:dyDescent="0.3">
      <c r="A13" s="127" t="s">
        <v>51</v>
      </c>
      <c r="B13" s="128"/>
      <c r="C13" s="129"/>
      <c r="D13" s="64" t="s">
        <v>52</v>
      </c>
      <c r="E13" s="65"/>
      <c r="F13" s="66"/>
      <c r="G13" s="66"/>
      <c r="H13" s="66"/>
      <c r="I13" s="66"/>
    </row>
    <row r="14" spans="1:9" ht="15" hidden="1" customHeight="1" x14ac:dyDescent="0.3">
      <c r="A14" s="120" t="s">
        <v>49</v>
      </c>
      <c r="B14" s="121"/>
      <c r="C14" s="122"/>
      <c r="D14" s="67" t="s">
        <v>50</v>
      </c>
      <c r="E14" s="65"/>
      <c r="F14" s="66"/>
      <c r="G14" s="66"/>
      <c r="H14" s="66"/>
      <c r="I14" s="68"/>
    </row>
    <row r="15" spans="1:9" ht="14.45" hidden="1" x14ac:dyDescent="0.3">
      <c r="A15" s="130">
        <v>3</v>
      </c>
      <c r="B15" s="131"/>
      <c r="C15" s="132"/>
      <c r="D15" s="69" t="s">
        <v>24</v>
      </c>
      <c r="E15" s="65"/>
      <c r="F15" s="66"/>
      <c r="G15" s="66"/>
      <c r="H15" s="66"/>
      <c r="I15" s="68"/>
    </row>
    <row r="16" spans="1:9" ht="14.45" hidden="1" x14ac:dyDescent="0.3">
      <c r="A16" s="133">
        <v>32</v>
      </c>
      <c r="B16" s="134"/>
      <c r="C16" s="135"/>
      <c r="D16" s="69" t="s">
        <v>40</v>
      </c>
      <c r="E16" s="65"/>
      <c r="F16" s="66"/>
      <c r="G16" s="66"/>
      <c r="H16" s="66"/>
      <c r="I16" s="68"/>
    </row>
    <row r="17" spans="1:15" ht="15" hidden="1" customHeight="1" x14ac:dyDescent="0.3">
      <c r="A17" s="120" t="s">
        <v>49</v>
      </c>
      <c r="B17" s="121"/>
      <c r="C17" s="122"/>
      <c r="D17" s="67" t="s">
        <v>50</v>
      </c>
      <c r="E17" s="65"/>
      <c r="F17" s="66"/>
      <c r="G17" s="66"/>
      <c r="H17" s="66"/>
      <c r="I17" s="68"/>
    </row>
    <row r="18" spans="1:15" ht="26.45" hidden="1" x14ac:dyDescent="0.3">
      <c r="A18" s="130">
        <v>4</v>
      </c>
      <c r="B18" s="131"/>
      <c r="C18" s="132"/>
      <c r="D18" s="69" t="s">
        <v>26</v>
      </c>
      <c r="E18" s="65"/>
      <c r="F18" s="66"/>
      <c r="G18" s="66"/>
      <c r="H18" s="66"/>
      <c r="I18" s="68"/>
    </row>
    <row r="19" spans="1:15" ht="26.45" hidden="1" x14ac:dyDescent="0.3">
      <c r="A19" s="133">
        <v>42</v>
      </c>
      <c r="B19" s="134"/>
      <c r="C19" s="135"/>
      <c r="D19" s="69" t="s">
        <v>68</v>
      </c>
      <c r="E19" s="65"/>
      <c r="F19" s="66"/>
      <c r="G19" s="66"/>
      <c r="H19" s="66"/>
      <c r="I19" s="68"/>
    </row>
    <row r="20" spans="1:15" s="60" customFormat="1" ht="16.5" x14ac:dyDescent="0.25">
      <c r="A20" s="139" t="s">
        <v>117</v>
      </c>
      <c r="B20" s="140"/>
      <c r="C20" s="141"/>
      <c r="D20" s="70" t="s">
        <v>118</v>
      </c>
      <c r="E20" s="71">
        <f>+E21+E47+E82+E94</f>
        <v>5590000.71</v>
      </c>
      <c r="F20" s="71">
        <f>+F21+F47+F82+F94</f>
        <v>7014703</v>
      </c>
      <c r="G20" s="71">
        <f>+G21+G47+G82+G94</f>
        <v>6998739.9799999995</v>
      </c>
      <c r="H20" s="71">
        <f>+H21+H47+H82+H94</f>
        <v>5554621.7699999996</v>
      </c>
      <c r="I20" s="87">
        <f>+I21+I47+I82+I94</f>
        <v>5554621.7699999996</v>
      </c>
      <c r="J20" s="61"/>
      <c r="K20" s="61"/>
      <c r="L20" s="61"/>
      <c r="M20" s="61"/>
      <c r="N20" s="61"/>
      <c r="O20" s="61"/>
    </row>
    <row r="21" spans="1:15" ht="27.6" x14ac:dyDescent="0.3">
      <c r="A21" s="139">
        <v>2201</v>
      </c>
      <c r="B21" s="140"/>
      <c r="C21" s="141"/>
      <c r="D21" s="72" t="s">
        <v>76</v>
      </c>
      <c r="E21" s="73">
        <f>+E22+E27+E31+E41</f>
        <v>5274328.2700000005</v>
      </c>
      <c r="F21" s="73">
        <f t="shared" ref="F21:I21" si="0">+F22+F27+F31+F41</f>
        <v>5407038</v>
      </c>
      <c r="G21" s="73">
        <f t="shared" si="0"/>
        <v>5531844.9799999995</v>
      </c>
      <c r="H21" s="73">
        <f t="shared" si="0"/>
        <v>5522050.1299999999</v>
      </c>
      <c r="I21" s="88">
        <f t="shared" si="0"/>
        <v>5522050.1299999999</v>
      </c>
    </row>
    <row r="22" spans="1:15" s="83" customFormat="1" ht="14.45" x14ac:dyDescent="0.3">
      <c r="A22" s="139" t="s">
        <v>77</v>
      </c>
      <c r="B22" s="140"/>
      <c r="C22" s="141"/>
      <c r="D22" s="74" t="s">
        <v>78</v>
      </c>
      <c r="E22" s="85">
        <f>+E23</f>
        <v>300943.08</v>
      </c>
      <c r="F22" s="85">
        <f t="shared" ref="F22:I22" si="1">+F23</f>
        <v>307489</v>
      </c>
      <c r="G22" s="85">
        <f t="shared" si="1"/>
        <v>307490.48</v>
      </c>
      <c r="H22" s="85">
        <f t="shared" si="1"/>
        <v>307490.48</v>
      </c>
      <c r="I22" s="86">
        <f t="shared" si="1"/>
        <v>307490.48</v>
      </c>
    </row>
    <row r="23" spans="1:15" s="83" customFormat="1" ht="16.5" x14ac:dyDescent="0.25">
      <c r="A23" s="139">
        <v>48007</v>
      </c>
      <c r="B23" s="140"/>
      <c r="C23" s="141"/>
      <c r="D23" s="74" t="s">
        <v>79</v>
      </c>
      <c r="E23" s="85">
        <v>300943.08</v>
      </c>
      <c r="F23" s="85">
        <v>307489</v>
      </c>
      <c r="G23" s="85">
        <v>307490.48</v>
      </c>
      <c r="H23" s="85">
        <v>307490.48</v>
      </c>
      <c r="I23" s="86">
        <v>307490.48</v>
      </c>
    </row>
    <row r="24" spans="1:15" s="84" customFormat="1" ht="14.45" x14ac:dyDescent="0.3">
      <c r="A24" s="48">
        <v>3</v>
      </c>
      <c r="B24" s="56"/>
      <c r="C24" s="56"/>
      <c r="D24" s="49" t="s">
        <v>22</v>
      </c>
      <c r="E24" s="50">
        <v>300943.08</v>
      </c>
      <c r="F24" s="50">
        <v>307489</v>
      </c>
      <c r="G24" s="50">
        <v>307490.48</v>
      </c>
      <c r="H24" s="50">
        <v>307490.48</v>
      </c>
      <c r="I24" s="58">
        <v>307490.48</v>
      </c>
    </row>
    <row r="25" spans="1:15" s="84" customFormat="1" ht="14.45" x14ac:dyDescent="0.3">
      <c r="A25" s="48">
        <v>32</v>
      </c>
      <c r="B25" s="56"/>
      <c r="C25" s="56"/>
      <c r="D25" s="49" t="s">
        <v>40</v>
      </c>
      <c r="E25" s="50">
        <v>296713.47000000003</v>
      </c>
      <c r="F25" s="50">
        <v>304489</v>
      </c>
      <c r="G25" s="50">
        <v>306360.3</v>
      </c>
      <c r="H25" s="50">
        <v>306360.3</v>
      </c>
      <c r="I25" s="58">
        <v>306360.3</v>
      </c>
    </row>
    <row r="26" spans="1:15" s="84" customFormat="1" ht="14.45" x14ac:dyDescent="0.3">
      <c r="A26" s="48">
        <v>34</v>
      </c>
      <c r="B26" s="56"/>
      <c r="C26" s="56"/>
      <c r="D26" s="52" t="s">
        <v>80</v>
      </c>
      <c r="E26" s="50">
        <v>4229.6099999999997</v>
      </c>
      <c r="F26" s="50">
        <v>3000</v>
      </c>
      <c r="G26" s="50">
        <v>1130.18</v>
      </c>
      <c r="H26" s="50">
        <v>1130.18</v>
      </c>
      <c r="I26" s="58">
        <v>1130.18</v>
      </c>
    </row>
    <row r="27" spans="1:15" s="83" customFormat="1" ht="16.5" x14ac:dyDescent="0.25">
      <c r="A27" s="139" t="s">
        <v>81</v>
      </c>
      <c r="B27" s="140"/>
      <c r="C27" s="141"/>
      <c r="D27" s="74" t="s">
        <v>82</v>
      </c>
      <c r="E27" s="85">
        <f>+E28</f>
        <v>235037.32</v>
      </c>
      <c r="F27" s="85">
        <f t="shared" ref="F27:I27" si="2">+F28</f>
        <v>275539</v>
      </c>
      <c r="G27" s="85">
        <f t="shared" si="2"/>
        <v>275536.67</v>
      </c>
      <c r="H27" s="85">
        <f t="shared" si="2"/>
        <v>275536.67</v>
      </c>
      <c r="I27" s="86">
        <f t="shared" si="2"/>
        <v>275536.67</v>
      </c>
    </row>
    <row r="28" spans="1:15" s="83" customFormat="1" ht="16.5" x14ac:dyDescent="0.25">
      <c r="A28" s="139">
        <v>48007</v>
      </c>
      <c r="B28" s="140"/>
      <c r="C28" s="141"/>
      <c r="D28" s="74" t="s">
        <v>79</v>
      </c>
      <c r="E28" s="85">
        <v>235037.32</v>
      </c>
      <c r="F28" s="85">
        <v>275539</v>
      </c>
      <c r="G28" s="85">
        <v>275536.67</v>
      </c>
      <c r="H28" s="85">
        <v>275536.67</v>
      </c>
      <c r="I28" s="86">
        <v>275536.67</v>
      </c>
    </row>
    <row r="29" spans="1:15" s="84" customFormat="1" ht="14.45" x14ac:dyDescent="0.3">
      <c r="A29" s="48">
        <v>3</v>
      </c>
      <c r="B29" s="56"/>
      <c r="C29" s="56"/>
      <c r="D29" s="49" t="s">
        <v>22</v>
      </c>
      <c r="E29" s="50">
        <v>235037.32</v>
      </c>
      <c r="F29" s="50">
        <v>275539</v>
      </c>
      <c r="G29" s="50">
        <v>275536.67</v>
      </c>
      <c r="H29" s="50">
        <v>275536.67</v>
      </c>
      <c r="I29" s="58">
        <v>275536.67</v>
      </c>
    </row>
    <row r="30" spans="1:15" s="84" customFormat="1" ht="14.45" x14ac:dyDescent="0.3">
      <c r="A30" s="48">
        <v>32</v>
      </c>
      <c r="B30" s="56"/>
      <c r="C30" s="56"/>
      <c r="D30" s="49" t="s">
        <v>40</v>
      </c>
      <c r="E30" s="50">
        <v>235037.32</v>
      </c>
      <c r="F30" s="50">
        <v>275539</v>
      </c>
      <c r="G30" s="50">
        <v>275536.67</v>
      </c>
      <c r="H30" s="50">
        <v>275536.67</v>
      </c>
      <c r="I30" s="58">
        <v>275536.67</v>
      </c>
    </row>
    <row r="31" spans="1:15" s="83" customFormat="1" ht="14.45" x14ac:dyDescent="0.3">
      <c r="A31" s="139" t="s">
        <v>83</v>
      </c>
      <c r="B31" s="140"/>
      <c r="C31" s="141"/>
      <c r="D31" s="72" t="s">
        <v>84</v>
      </c>
      <c r="E31" s="85">
        <f>+E32+E35+E38</f>
        <v>57914.430000000008</v>
      </c>
      <c r="F31" s="85">
        <f t="shared" ref="F31:I31" si="3">+F32+F35+F38</f>
        <v>145500</v>
      </c>
      <c r="G31" s="85">
        <f t="shared" si="3"/>
        <v>61036.990000000005</v>
      </c>
      <c r="H31" s="85">
        <f t="shared" si="3"/>
        <v>51242.14</v>
      </c>
      <c r="I31" s="86">
        <f t="shared" si="3"/>
        <v>51242.14</v>
      </c>
    </row>
    <row r="32" spans="1:15" s="83" customFormat="1" ht="16.5" x14ac:dyDescent="0.25">
      <c r="A32" s="139">
        <v>32400</v>
      </c>
      <c r="B32" s="140"/>
      <c r="C32" s="141"/>
      <c r="D32" s="74" t="s">
        <v>85</v>
      </c>
      <c r="E32" s="85">
        <v>40190.240000000005</v>
      </c>
      <c r="F32" s="85">
        <v>65000</v>
      </c>
      <c r="G32" s="85">
        <v>48981.79</v>
      </c>
      <c r="H32" s="85">
        <v>48981.79</v>
      </c>
      <c r="I32" s="86">
        <v>48981.79</v>
      </c>
    </row>
    <row r="33" spans="1:9" s="84" customFormat="1" ht="14.45" x14ac:dyDescent="0.3">
      <c r="A33" s="48">
        <v>3</v>
      </c>
      <c r="B33" s="56"/>
      <c r="C33" s="56"/>
      <c r="D33" s="49" t="s">
        <v>22</v>
      </c>
      <c r="E33" s="50">
        <v>40190.240000000005</v>
      </c>
      <c r="F33" s="50">
        <v>65000</v>
      </c>
      <c r="G33" s="50">
        <v>48981.79</v>
      </c>
      <c r="H33" s="50">
        <v>48981.79</v>
      </c>
      <c r="I33" s="58">
        <v>48981.79</v>
      </c>
    </row>
    <row r="34" spans="1:9" s="84" customFormat="1" ht="14.45" x14ac:dyDescent="0.3">
      <c r="A34" s="48">
        <v>32</v>
      </c>
      <c r="B34" s="56"/>
      <c r="C34" s="56"/>
      <c r="D34" s="52" t="s">
        <v>40</v>
      </c>
      <c r="E34" s="50">
        <v>40190.240000000005</v>
      </c>
      <c r="F34" s="50">
        <v>65000</v>
      </c>
      <c r="G34" s="50">
        <v>48981.79</v>
      </c>
      <c r="H34" s="50">
        <v>48981.79</v>
      </c>
      <c r="I34" s="58">
        <v>48981.79</v>
      </c>
    </row>
    <row r="35" spans="1:9" s="83" customFormat="1" x14ac:dyDescent="0.25">
      <c r="A35" s="145">
        <v>47400</v>
      </c>
      <c r="B35" s="148"/>
      <c r="C35" s="149"/>
      <c r="D35" s="74" t="s">
        <v>86</v>
      </c>
      <c r="E35" s="85">
        <v>7724.19</v>
      </c>
      <c r="F35" s="85">
        <v>80500</v>
      </c>
      <c r="G35" s="85">
        <v>12055.2</v>
      </c>
      <c r="H35" s="85">
        <v>2260.35</v>
      </c>
      <c r="I35" s="86">
        <v>2260.35</v>
      </c>
    </row>
    <row r="36" spans="1:9" ht="14.45" x14ac:dyDescent="0.3">
      <c r="A36" s="48">
        <v>4</v>
      </c>
      <c r="B36" s="55"/>
      <c r="C36" s="55"/>
      <c r="D36" s="49" t="s">
        <v>5</v>
      </c>
      <c r="E36" s="50">
        <f>+E37</f>
        <v>7724.19</v>
      </c>
      <c r="F36" s="50">
        <f t="shared" ref="F36:H36" si="4">+F37</f>
        <v>80500</v>
      </c>
      <c r="G36" s="50">
        <f t="shared" si="4"/>
        <v>12055.2</v>
      </c>
      <c r="H36" s="50">
        <f t="shared" si="4"/>
        <v>2260.35</v>
      </c>
      <c r="I36" s="58">
        <f>+I37</f>
        <v>2260.35</v>
      </c>
    </row>
    <row r="37" spans="1:9" ht="14.45" x14ac:dyDescent="0.3">
      <c r="A37" s="48">
        <v>42</v>
      </c>
      <c r="B37" s="55"/>
      <c r="C37" s="55"/>
      <c r="D37" s="52" t="s">
        <v>119</v>
      </c>
      <c r="E37" s="50">
        <v>7724.19</v>
      </c>
      <c r="F37" s="50">
        <v>80500</v>
      </c>
      <c r="G37" s="50">
        <v>12055.2</v>
      </c>
      <c r="H37" s="50">
        <v>2260.35</v>
      </c>
      <c r="I37" s="58">
        <v>2260.35</v>
      </c>
    </row>
    <row r="38" spans="1:9" s="83" customFormat="1" ht="14.45" x14ac:dyDescent="0.3">
      <c r="A38" s="145">
        <v>62400</v>
      </c>
      <c r="B38" s="146"/>
      <c r="C38" s="147"/>
      <c r="D38" s="74" t="s">
        <v>87</v>
      </c>
      <c r="E38" s="85">
        <v>10000</v>
      </c>
      <c r="F38" s="85">
        <v>0</v>
      </c>
      <c r="G38" s="85">
        <v>0</v>
      </c>
      <c r="H38" s="85">
        <v>0</v>
      </c>
      <c r="I38" s="86">
        <v>0</v>
      </c>
    </row>
    <row r="39" spans="1:9" ht="14.45" x14ac:dyDescent="0.3">
      <c r="A39" s="48">
        <v>3</v>
      </c>
      <c r="B39" s="55"/>
      <c r="C39" s="55"/>
      <c r="D39" s="49" t="s">
        <v>22</v>
      </c>
      <c r="E39" s="50">
        <v>10000</v>
      </c>
      <c r="F39" s="50">
        <v>0</v>
      </c>
      <c r="G39" s="50">
        <v>0</v>
      </c>
      <c r="H39" s="50">
        <v>0</v>
      </c>
      <c r="I39" s="58">
        <v>0</v>
      </c>
    </row>
    <row r="40" spans="1:9" ht="14.45" x14ac:dyDescent="0.3">
      <c r="A40" s="48">
        <v>32</v>
      </c>
      <c r="B40" s="55"/>
      <c r="C40" s="55"/>
      <c r="D40" s="49" t="s">
        <v>40</v>
      </c>
      <c r="E40" s="50">
        <v>10000</v>
      </c>
      <c r="F40" s="50">
        <v>0</v>
      </c>
      <c r="G40" s="50">
        <v>0</v>
      </c>
      <c r="H40" s="50">
        <v>0</v>
      </c>
      <c r="I40" s="58">
        <v>0</v>
      </c>
    </row>
    <row r="41" spans="1:9" s="83" customFormat="1" x14ac:dyDescent="0.25">
      <c r="A41" s="145" t="s">
        <v>88</v>
      </c>
      <c r="B41" s="146"/>
      <c r="C41" s="147"/>
      <c r="D41" s="72" t="s">
        <v>89</v>
      </c>
      <c r="E41" s="85">
        <f>+E42</f>
        <v>4680433.4400000004</v>
      </c>
      <c r="F41" s="85">
        <f t="shared" ref="F41:I41" si="5">+F42</f>
        <v>4678510</v>
      </c>
      <c r="G41" s="85">
        <f t="shared" si="5"/>
        <v>4887780.84</v>
      </c>
      <c r="H41" s="85">
        <f t="shared" si="5"/>
        <v>4887780.84</v>
      </c>
      <c r="I41" s="86">
        <f t="shared" si="5"/>
        <v>4887780.84</v>
      </c>
    </row>
    <row r="42" spans="1:9" s="83" customFormat="1" x14ac:dyDescent="0.25">
      <c r="A42" s="145">
        <v>53082</v>
      </c>
      <c r="B42" s="146"/>
      <c r="C42" s="147"/>
      <c r="D42" s="74" t="s">
        <v>90</v>
      </c>
      <c r="E42" s="85">
        <v>4680433.4400000004</v>
      </c>
      <c r="F42" s="85">
        <v>4678510</v>
      </c>
      <c r="G42" s="85">
        <v>4887780.84</v>
      </c>
      <c r="H42" s="85">
        <v>4887780.84</v>
      </c>
      <c r="I42" s="86">
        <v>4887780.84</v>
      </c>
    </row>
    <row r="43" spans="1:9" ht="14.45" x14ac:dyDescent="0.3">
      <c r="A43" s="48">
        <v>3</v>
      </c>
      <c r="B43" s="55"/>
      <c r="C43" s="55"/>
      <c r="D43" s="49" t="s">
        <v>22</v>
      </c>
      <c r="E43" s="50">
        <v>4680433.4400000004</v>
      </c>
      <c r="F43" s="50">
        <v>4678510</v>
      </c>
      <c r="G43" s="50">
        <v>4887780.84</v>
      </c>
      <c r="H43" s="50">
        <v>4887780.84</v>
      </c>
      <c r="I43" s="58">
        <v>4887780.84</v>
      </c>
    </row>
    <row r="44" spans="1:9" ht="14.45" x14ac:dyDescent="0.3">
      <c r="A44" s="48">
        <v>31</v>
      </c>
      <c r="B44" s="55"/>
      <c r="C44" s="55"/>
      <c r="D44" s="49" t="s">
        <v>25</v>
      </c>
      <c r="E44" s="50">
        <v>4590543.1100000003</v>
      </c>
      <c r="F44" s="50">
        <v>4637330</v>
      </c>
      <c r="G44" s="50">
        <v>4887780.84</v>
      </c>
      <c r="H44" s="50">
        <v>4887780.84</v>
      </c>
      <c r="I44" s="58">
        <v>4887780.84</v>
      </c>
    </row>
    <row r="45" spans="1:9" ht="14.45" x14ac:dyDescent="0.3">
      <c r="A45" s="48">
        <v>32</v>
      </c>
      <c r="B45" s="55"/>
      <c r="C45" s="55"/>
      <c r="D45" s="49" t="s">
        <v>40</v>
      </c>
      <c r="E45" s="50">
        <v>49408.12</v>
      </c>
      <c r="F45" s="50">
        <v>29380</v>
      </c>
      <c r="G45" s="50">
        <v>0</v>
      </c>
      <c r="H45" s="50">
        <v>0</v>
      </c>
      <c r="I45" s="58">
        <v>0</v>
      </c>
    </row>
    <row r="46" spans="1:9" ht="14.45" x14ac:dyDescent="0.3">
      <c r="A46" s="48">
        <v>34</v>
      </c>
      <c r="B46" s="55"/>
      <c r="C46" s="55"/>
      <c r="D46" s="49" t="s">
        <v>80</v>
      </c>
      <c r="E46" s="53">
        <v>40482.21</v>
      </c>
      <c r="F46" s="53">
        <v>11800</v>
      </c>
      <c r="G46" s="53">
        <v>0</v>
      </c>
      <c r="H46" s="53">
        <v>0</v>
      </c>
      <c r="I46" s="59">
        <v>0</v>
      </c>
    </row>
    <row r="47" spans="1:9" s="83" customFormat="1" ht="14.45" x14ac:dyDescent="0.3">
      <c r="A47" s="145">
        <v>2301</v>
      </c>
      <c r="B47" s="146"/>
      <c r="C47" s="147"/>
      <c r="D47" s="72" t="s">
        <v>91</v>
      </c>
      <c r="E47" s="73">
        <f>+E48+E52+E57+E61+E74+E78</f>
        <v>284866.75</v>
      </c>
      <c r="F47" s="73">
        <f>+F48+F52+F57+F61+F74+F78</f>
        <v>1461524</v>
      </c>
      <c r="G47" s="73">
        <f>+G48+G52+G57+G61+G74+G78</f>
        <v>1356891.3000000003</v>
      </c>
      <c r="H47" s="73">
        <f>+H48+H52+H57+H61+H74+H78</f>
        <v>32571.64</v>
      </c>
      <c r="I47" s="88">
        <f>+I48+I52+I57+I61+I74+I78</f>
        <v>32571.64</v>
      </c>
    </row>
    <row r="48" spans="1:9" s="83" customFormat="1" x14ac:dyDescent="0.25">
      <c r="A48" s="145" t="s">
        <v>92</v>
      </c>
      <c r="B48" s="146"/>
      <c r="C48" s="147"/>
      <c r="D48" s="74" t="s">
        <v>93</v>
      </c>
      <c r="E48" s="85">
        <f>+E49</f>
        <v>0</v>
      </c>
      <c r="F48" s="85">
        <f t="shared" ref="F48:I48" si="6">+F49</f>
        <v>22570</v>
      </c>
      <c r="G48" s="85">
        <f t="shared" si="6"/>
        <v>22573.360000000001</v>
      </c>
      <c r="H48" s="85">
        <f t="shared" si="6"/>
        <v>22573.360000000001</v>
      </c>
      <c r="I48" s="86">
        <f t="shared" si="6"/>
        <v>22573.360000000001</v>
      </c>
    </row>
    <row r="49" spans="1:9" s="83" customFormat="1" ht="14.45" x14ac:dyDescent="0.3">
      <c r="A49" s="145">
        <v>11001</v>
      </c>
      <c r="B49" s="146"/>
      <c r="C49" s="147"/>
      <c r="D49" s="74" t="s">
        <v>94</v>
      </c>
      <c r="E49" s="85">
        <v>0</v>
      </c>
      <c r="F49" s="85">
        <v>22570</v>
      </c>
      <c r="G49" s="85">
        <v>22573.360000000001</v>
      </c>
      <c r="H49" s="85">
        <v>22573.360000000001</v>
      </c>
      <c r="I49" s="86">
        <v>22573.360000000001</v>
      </c>
    </row>
    <row r="50" spans="1:9" ht="14.45" x14ac:dyDescent="0.3">
      <c r="A50" s="48">
        <v>3</v>
      </c>
      <c r="B50" s="55"/>
      <c r="C50" s="55"/>
      <c r="D50" s="49" t="s">
        <v>22</v>
      </c>
      <c r="E50" s="50">
        <v>0</v>
      </c>
      <c r="F50" s="50">
        <v>22570</v>
      </c>
      <c r="G50" s="50">
        <v>22573.360000000001</v>
      </c>
      <c r="H50" s="50">
        <v>22573.360000000001</v>
      </c>
      <c r="I50" s="58">
        <v>22573.360000000001</v>
      </c>
    </row>
    <row r="51" spans="1:9" ht="14.45" x14ac:dyDescent="0.3">
      <c r="A51" s="48">
        <v>32</v>
      </c>
      <c r="B51" s="55"/>
      <c r="C51" s="55"/>
      <c r="D51" s="49" t="s">
        <v>40</v>
      </c>
      <c r="E51" s="50">
        <v>0</v>
      </c>
      <c r="F51" s="50">
        <v>22570</v>
      </c>
      <c r="G51" s="50">
        <v>22573.360000000001</v>
      </c>
      <c r="H51" s="50">
        <v>22573.360000000001</v>
      </c>
      <c r="I51" s="58">
        <v>22573.360000000001</v>
      </c>
    </row>
    <row r="52" spans="1:9" s="83" customFormat="1" x14ac:dyDescent="0.25">
      <c r="A52" s="145" t="s">
        <v>95</v>
      </c>
      <c r="B52" s="146"/>
      <c r="C52" s="147"/>
      <c r="D52" s="75" t="s">
        <v>96</v>
      </c>
      <c r="E52" s="85">
        <f>+E53</f>
        <v>23738.48</v>
      </c>
      <c r="F52" s="85">
        <f t="shared" ref="F52:I52" si="7">+F53</f>
        <v>0</v>
      </c>
      <c r="G52" s="85">
        <f t="shared" si="7"/>
        <v>0</v>
      </c>
      <c r="H52" s="85">
        <f t="shared" si="7"/>
        <v>0</v>
      </c>
      <c r="I52" s="86">
        <f t="shared" si="7"/>
        <v>0</v>
      </c>
    </row>
    <row r="53" spans="1:9" s="83" customFormat="1" ht="14.45" x14ac:dyDescent="0.3">
      <c r="A53" s="145">
        <v>11001</v>
      </c>
      <c r="B53" s="146"/>
      <c r="C53" s="147"/>
      <c r="D53" s="74" t="s">
        <v>94</v>
      </c>
      <c r="E53" s="85">
        <v>23738.48</v>
      </c>
      <c r="F53" s="85">
        <v>0</v>
      </c>
      <c r="G53" s="85">
        <v>0</v>
      </c>
      <c r="H53" s="85">
        <v>0</v>
      </c>
      <c r="I53" s="86">
        <v>0</v>
      </c>
    </row>
    <row r="54" spans="1:9" ht="14.45" x14ac:dyDescent="0.3">
      <c r="A54" s="48">
        <v>3</v>
      </c>
      <c r="B54" s="55"/>
      <c r="C54" s="55"/>
      <c r="D54" s="49" t="s">
        <v>22</v>
      </c>
      <c r="E54" s="50">
        <v>23738.48</v>
      </c>
      <c r="F54" s="50">
        <v>0</v>
      </c>
      <c r="G54" s="50">
        <v>0</v>
      </c>
      <c r="H54" s="50">
        <v>0</v>
      </c>
      <c r="I54" s="58">
        <v>0</v>
      </c>
    </row>
    <row r="55" spans="1:9" x14ac:dyDescent="0.25">
      <c r="A55" s="48">
        <v>31</v>
      </c>
      <c r="B55" s="55"/>
      <c r="C55" s="55"/>
      <c r="D55" s="49" t="s">
        <v>25</v>
      </c>
      <c r="E55" s="50">
        <v>22694.68</v>
      </c>
      <c r="F55" s="50">
        <v>0</v>
      </c>
      <c r="G55" s="50">
        <v>0</v>
      </c>
      <c r="H55" s="50">
        <v>0</v>
      </c>
      <c r="I55" s="58">
        <v>0</v>
      </c>
    </row>
    <row r="56" spans="1:9" x14ac:dyDescent="0.25">
      <c r="A56" s="48">
        <v>32</v>
      </c>
      <c r="B56" s="55"/>
      <c r="C56" s="55"/>
      <c r="D56" s="50" t="s">
        <v>40</v>
      </c>
      <c r="E56" s="50">
        <v>1043.8</v>
      </c>
      <c r="F56" s="50">
        <v>0</v>
      </c>
      <c r="G56" s="50">
        <v>0</v>
      </c>
      <c r="H56" s="50">
        <v>0</v>
      </c>
      <c r="I56" s="58">
        <v>0</v>
      </c>
    </row>
    <row r="57" spans="1:9" s="83" customFormat="1" x14ac:dyDescent="0.25">
      <c r="A57" s="145" t="s">
        <v>97</v>
      </c>
      <c r="B57" s="146"/>
      <c r="C57" s="147"/>
      <c r="D57" s="75" t="s">
        <v>98</v>
      </c>
      <c r="E57" s="85">
        <f>+E58</f>
        <v>919.5</v>
      </c>
      <c r="F57" s="85">
        <f t="shared" ref="F57:I57" si="8">+F58</f>
        <v>766</v>
      </c>
      <c r="G57" s="85">
        <f t="shared" si="8"/>
        <v>0</v>
      </c>
      <c r="H57" s="85">
        <f t="shared" si="8"/>
        <v>0</v>
      </c>
      <c r="I57" s="86">
        <f t="shared" si="8"/>
        <v>0</v>
      </c>
    </row>
    <row r="58" spans="1:9" s="83" customFormat="1" x14ac:dyDescent="0.25">
      <c r="A58" s="145">
        <v>53080</v>
      </c>
      <c r="B58" s="146"/>
      <c r="C58" s="147"/>
      <c r="D58" s="74" t="s">
        <v>99</v>
      </c>
      <c r="E58" s="85">
        <v>919.5</v>
      </c>
      <c r="F58" s="85">
        <v>766</v>
      </c>
      <c r="G58" s="85">
        <v>0</v>
      </c>
      <c r="H58" s="85">
        <v>0</v>
      </c>
      <c r="I58" s="86">
        <v>0</v>
      </c>
    </row>
    <row r="59" spans="1:9" x14ac:dyDescent="0.25">
      <c r="A59" s="48">
        <v>3</v>
      </c>
      <c r="B59" s="55"/>
      <c r="C59" s="55"/>
      <c r="D59" s="49" t="s">
        <v>22</v>
      </c>
      <c r="E59" s="50">
        <v>919.5</v>
      </c>
      <c r="F59" s="50">
        <v>766</v>
      </c>
      <c r="G59" s="50">
        <v>0</v>
      </c>
      <c r="H59" s="50">
        <v>0</v>
      </c>
      <c r="I59" s="58">
        <v>0</v>
      </c>
    </row>
    <row r="60" spans="1:9" ht="13.9" customHeight="1" x14ac:dyDescent="0.25">
      <c r="A60" s="48">
        <v>32</v>
      </c>
      <c r="B60" s="55"/>
      <c r="C60" s="55"/>
      <c r="D60" s="49" t="s">
        <v>40</v>
      </c>
      <c r="E60" s="50">
        <v>919.5</v>
      </c>
      <c r="F60" s="50">
        <v>766</v>
      </c>
      <c r="G60" s="50">
        <v>0</v>
      </c>
      <c r="H60" s="50">
        <v>0</v>
      </c>
      <c r="I60" s="58">
        <v>0</v>
      </c>
    </row>
    <row r="61" spans="1:9" s="83" customFormat="1" x14ac:dyDescent="0.25">
      <c r="A61" s="145" t="s">
        <v>100</v>
      </c>
      <c r="B61" s="146"/>
      <c r="C61" s="147"/>
      <c r="D61" s="75" t="s">
        <v>101</v>
      </c>
      <c r="E61" s="85">
        <f>+E62+E67</f>
        <v>258304.77</v>
      </c>
      <c r="F61" s="85">
        <f t="shared" ref="F61:I61" si="9">+F62+F67</f>
        <v>1428188</v>
      </c>
      <c r="G61" s="85">
        <f t="shared" si="9"/>
        <v>1324319.6600000001</v>
      </c>
      <c r="H61" s="85">
        <f t="shared" si="9"/>
        <v>0</v>
      </c>
      <c r="I61" s="86">
        <f t="shared" si="9"/>
        <v>0</v>
      </c>
    </row>
    <row r="62" spans="1:9" s="83" customFormat="1" x14ac:dyDescent="0.25">
      <c r="A62" s="145">
        <v>51001</v>
      </c>
      <c r="B62" s="146"/>
      <c r="C62" s="147"/>
      <c r="D62" s="74" t="s">
        <v>102</v>
      </c>
      <c r="E62" s="85">
        <v>0</v>
      </c>
      <c r="F62" s="85">
        <v>1124443</v>
      </c>
      <c r="G62" s="85">
        <v>1005102.3</v>
      </c>
      <c r="H62" s="85">
        <v>0</v>
      </c>
      <c r="I62" s="86">
        <v>0</v>
      </c>
    </row>
    <row r="63" spans="1:9" x14ac:dyDescent="0.25">
      <c r="A63" s="48">
        <v>3</v>
      </c>
      <c r="B63" s="55"/>
      <c r="C63" s="55"/>
      <c r="D63" s="49" t="s">
        <v>22</v>
      </c>
      <c r="E63" s="50">
        <v>0</v>
      </c>
      <c r="F63" s="50">
        <v>51000</v>
      </c>
      <c r="G63" s="50">
        <v>3013.8</v>
      </c>
      <c r="H63" s="50">
        <v>0</v>
      </c>
      <c r="I63" s="58">
        <v>0</v>
      </c>
    </row>
    <row r="64" spans="1:9" x14ac:dyDescent="0.25">
      <c r="A64" s="48">
        <v>32</v>
      </c>
      <c r="B64" s="55"/>
      <c r="C64" s="55"/>
      <c r="D64" s="49" t="s">
        <v>40</v>
      </c>
      <c r="E64" s="50">
        <v>0</v>
      </c>
      <c r="F64" s="50">
        <v>51000</v>
      </c>
      <c r="G64" s="50">
        <v>3013.8</v>
      </c>
      <c r="H64" s="50">
        <v>0</v>
      </c>
      <c r="I64" s="58">
        <v>0</v>
      </c>
    </row>
    <row r="65" spans="1:9" x14ac:dyDescent="0.25">
      <c r="A65" s="48">
        <v>4</v>
      </c>
      <c r="B65" s="55"/>
      <c r="C65" s="55"/>
      <c r="D65" s="49" t="s">
        <v>5</v>
      </c>
      <c r="E65" s="50">
        <f>+E66</f>
        <v>0</v>
      </c>
      <c r="F65" s="50">
        <f t="shared" ref="F65" si="10">+F66</f>
        <v>1073443</v>
      </c>
      <c r="G65" s="50">
        <f t="shared" ref="G65" si="11">+G66</f>
        <v>1002088.5</v>
      </c>
      <c r="H65" s="50">
        <f t="shared" ref="H65" si="12">+H66</f>
        <v>0</v>
      </c>
      <c r="I65" s="58">
        <f>+I66</f>
        <v>0</v>
      </c>
    </row>
    <row r="66" spans="1:9" x14ac:dyDescent="0.25">
      <c r="A66" s="48">
        <v>42</v>
      </c>
      <c r="B66" s="55"/>
      <c r="C66" s="55"/>
      <c r="D66" s="52" t="s">
        <v>119</v>
      </c>
      <c r="E66" s="50">
        <v>0</v>
      </c>
      <c r="F66" s="50">
        <v>1073443</v>
      </c>
      <c r="G66" s="50">
        <v>1002088.5</v>
      </c>
      <c r="H66" s="50">
        <v>0</v>
      </c>
      <c r="I66" s="58">
        <v>0</v>
      </c>
    </row>
    <row r="67" spans="1:9" s="83" customFormat="1" x14ac:dyDescent="0.25">
      <c r="A67" s="145">
        <v>58400</v>
      </c>
      <c r="B67" s="146"/>
      <c r="C67" s="147"/>
      <c r="D67" s="74" t="s">
        <v>103</v>
      </c>
      <c r="E67" s="85">
        <v>258304.77</v>
      </c>
      <c r="F67" s="85">
        <v>303745</v>
      </c>
      <c r="G67" s="85">
        <v>319217.36000000004</v>
      </c>
      <c r="H67" s="85">
        <v>0</v>
      </c>
      <c r="I67" s="86">
        <v>0</v>
      </c>
    </row>
    <row r="68" spans="1:9" x14ac:dyDescent="0.25">
      <c r="A68" s="48">
        <v>3</v>
      </c>
      <c r="B68" s="56"/>
      <c r="C68" s="56"/>
      <c r="D68" s="49" t="s">
        <v>22</v>
      </c>
      <c r="E68" s="50">
        <v>258304.77</v>
      </c>
      <c r="F68" s="50">
        <v>303745</v>
      </c>
      <c r="G68" s="50">
        <v>281350.92000000004</v>
      </c>
      <c r="H68" s="50">
        <v>0</v>
      </c>
      <c r="I68" s="58">
        <v>0</v>
      </c>
    </row>
    <row r="69" spans="1:9" x14ac:dyDescent="0.25">
      <c r="A69" s="48">
        <v>31</v>
      </c>
      <c r="B69" s="56"/>
      <c r="C69" s="56"/>
      <c r="D69" s="49" t="s">
        <v>25</v>
      </c>
      <c r="E69" s="50">
        <v>203593.93</v>
      </c>
      <c r="F69" s="50">
        <v>229100</v>
      </c>
      <c r="G69" s="50">
        <v>215336.01</v>
      </c>
      <c r="H69" s="50">
        <v>0</v>
      </c>
      <c r="I69" s="58">
        <v>0</v>
      </c>
    </row>
    <row r="70" spans="1:9" x14ac:dyDescent="0.25">
      <c r="A70" s="48">
        <v>32</v>
      </c>
      <c r="B70" s="56"/>
      <c r="C70" s="56"/>
      <c r="D70" s="49" t="s">
        <v>40</v>
      </c>
      <c r="E70" s="50">
        <v>54315.840000000004</v>
      </c>
      <c r="F70" s="50">
        <v>73845</v>
      </c>
      <c r="G70" s="50">
        <v>65261.460000000006</v>
      </c>
      <c r="H70" s="50">
        <v>0</v>
      </c>
      <c r="I70" s="58">
        <v>0</v>
      </c>
    </row>
    <row r="71" spans="1:9" x14ac:dyDescent="0.25">
      <c r="A71" s="48">
        <v>34</v>
      </c>
      <c r="B71" s="56"/>
      <c r="C71" s="56"/>
      <c r="D71" s="49" t="s">
        <v>80</v>
      </c>
      <c r="E71" s="50">
        <v>395</v>
      </c>
      <c r="F71" s="50">
        <v>800</v>
      </c>
      <c r="G71" s="50">
        <v>753.45</v>
      </c>
      <c r="H71" s="50">
        <v>0</v>
      </c>
      <c r="I71" s="58">
        <v>0</v>
      </c>
    </row>
    <row r="72" spans="1:9" x14ac:dyDescent="0.25">
      <c r="A72" s="48">
        <v>4</v>
      </c>
      <c r="B72" s="55"/>
      <c r="C72" s="55"/>
      <c r="D72" s="49" t="s">
        <v>5</v>
      </c>
      <c r="E72" s="50">
        <f>+E73</f>
        <v>0</v>
      </c>
      <c r="F72" s="50">
        <f t="shared" ref="F72" si="13">+F73</f>
        <v>0</v>
      </c>
      <c r="G72" s="50">
        <f t="shared" ref="G72" si="14">+G73</f>
        <v>37866.44</v>
      </c>
      <c r="H72" s="50">
        <f t="shared" ref="H72" si="15">+H73</f>
        <v>0</v>
      </c>
      <c r="I72" s="58">
        <f>+I73</f>
        <v>0</v>
      </c>
    </row>
    <row r="73" spans="1:9" x14ac:dyDescent="0.25">
      <c r="A73" s="48">
        <v>42</v>
      </c>
      <c r="B73" s="56"/>
      <c r="C73" s="56"/>
      <c r="D73" s="49" t="s">
        <v>119</v>
      </c>
      <c r="E73" s="53">
        <v>0</v>
      </c>
      <c r="F73" s="53">
        <v>0</v>
      </c>
      <c r="G73" s="53">
        <v>37866.44</v>
      </c>
      <c r="H73" s="53">
        <v>0</v>
      </c>
      <c r="I73" s="59">
        <v>0</v>
      </c>
    </row>
    <row r="74" spans="1:9" s="83" customFormat="1" x14ac:dyDescent="0.25">
      <c r="A74" s="145" t="s">
        <v>104</v>
      </c>
      <c r="B74" s="146"/>
      <c r="C74" s="147"/>
      <c r="D74" s="75" t="s">
        <v>105</v>
      </c>
      <c r="E74" s="76">
        <f>+E75</f>
        <v>1904</v>
      </c>
      <c r="F74" s="76">
        <f t="shared" ref="F74:I74" si="16">+F75</f>
        <v>0</v>
      </c>
      <c r="G74" s="76">
        <f t="shared" si="16"/>
        <v>0</v>
      </c>
      <c r="H74" s="76">
        <f t="shared" si="16"/>
        <v>0</v>
      </c>
      <c r="I74" s="77">
        <f t="shared" si="16"/>
        <v>0</v>
      </c>
    </row>
    <row r="75" spans="1:9" s="83" customFormat="1" x14ac:dyDescent="0.25">
      <c r="A75" s="145">
        <v>53082</v>
      </c>
      <c r="B75" s="146"/>
      <c r="C75" s="147"/>
      <c r="D75" s="74" t="s">
        <v>90</v>
      </c>
      <c r="E75" s="85">
        <v>1904</v>
      </c>
      <c r="F75" s="85">
        <v>0</v>
      </c>
      <c r="G75" s="85">
        <v>0</v>
      </c>
      <c r="H75" s="85">
        <v>0</v>
      </c>
      <c r="I75" s="86">
        <v>0</v>
      </c>
    </row>
    <row r="76" spans="1:9" x14ac:dyDescent="0.25">
      <c r="A76" s="48">
        <v>3</v>
      </c>
      <c r="B76" s="55"/>
      <c r="C76" s="55"/>
      <c r="D76" s="49" t="s">
        <v>22</v>
      </c>
      <c r="E76" s="50">
        <v>1904</v>
      </c>
      <c r="F76" s="50">
        <v>0</v>
      </c>
      <c r="G76" s="50">
        <v>0</v>
      </c>
      <c r="H76" s="50">
        <v>0</v>
      </c>
      <c r="I76" s="58">
        <v>0</v>
      </c>
    </row>
    <row r="77" spans="1:9" x14ac:dyDescent="0.25">
      <c r="A77" s="48">
        <v>32</v>
      </c>
      <c r="B77" s="55"/>
      <c r="C77" s="55"/>
      <c r="D77" s="49" t="s">
        <v>40</v>
      </c>
      <c r="E77" s="53">
        <v>1904</v>
      </c>
      <c r="F77" s="53">
        <v>0</v>
      </c>
      <c r="G77" s="53">
        <v>0</v>
      </c>
      <c r="H77" s="53">
        <v>0</v>
      </c>
      <c r="I77" s="59">
        <v>0</v>
      </c>
    </row>
    <row r="78" spans="1:9" s="83" customFormat="1" x14ac:dyDescent="0.25">
      <c r="A78" s="145" t="s">
        <v>106</v>
      </c>
      <c r="B78" s="146"/>
      <c r="C78" s="147"/>
      <c r="D78" s="75" t="s">
        <v>107</v>
      </c>
      <c r="E78" s="76">
        <f>+E79</f>
        <v>0</v>
      </c>
      <c r="F78" s="76">
        <f t="shared" ref="F78:I78" si="17">+F79</f>
        <v>10000</v>
      </c>
      <c r="G78" s="76">
        <f t="shared" si="17"/>
        <v>9998.2799999999988</v>
      </c>
      <c r="H78" s="76">
        <f t="shared" si="17"/>
        <v>9998.2799999999988</v>
      </c>
      <c r="I78" s="77">
        <f t="shared" si="17"/>
        <v>9998.2799999999988</v>
      </c>
    </row>
    <row r="79" spans="1:9" s="83" customFormat="1" x14ac:dyDescent="0.25">
      <c r="A79" s="145">
        <v>11001</v>
      </c>
      <c r="B79" s="146"/>
      <c r="C79" s="147"/>
      <c r="D79" s="74" t="s">
        <v>94</v>
      </c>
      <c r="E79" s="85">
        <v>0</v>
      </c>
      <c r="F79" s="85">
        <v>10000</v>
      </c>
      <c r="G79" s="85">
        <v>9998.2799999999988</v>
      </c>
      <c r="H79" s="85">
        <v>9998.2799999999988</v>
      </c>
      <c r="I79" s="86">
        <v>9998.2799999999988</v>
      </c>
    </row>
    <row r="80" spans="1:9" x14ac:dyDescent="0.25">
      <c r="A80" s="48">
        <v>3</v>
      </c>
      <c r="B80" s="55"/>
      <c r="C80" s="55"/>
      <c r="D80" s="49" t="s">
        <v>22</v>
      </c>
      <c r="E80" s="50">
        <v>0</v>
      </c>
      <c r="F80" s="50">
        <v>10000</v>
      </c>
      <c r="G80" s="50">
        <v>9998.2799999999988</v>
      </c>
      <c r="H80" s="50">
        <v>9998.2799999999988</v>
      </c>
      <c r="I80" s="58">
        <v>9998.2799999999988</v>
      </c>
    </row>
    <row r="81" spans="1:9" x14ac:dyDescent="0.25">
      <c r="A81" s="48">
        <v>32</v>
      </c>
      <c r="B81" s="55"/>
      <c r="C81" s="55"/>
      <c r="D81" s="49" t="s">
        <v>40</v>
      </c>
      <c r="E81" s="53">
        <v>0</v>
      </c>
      <c r="F81" s="53">
        <v>10000</v>
      </c>
      <c r="G81" s="53">
        <v>9998.2799999999988</v>
      </c>
      <c r="H81" s="53">
        <v>9998.2799999999988</v>
      </c>
      <c r="I81" s="59">
        <v>9998.2799999999988</v>
      </c>
    </row>
    <row r="82" spans="1:9" s="83" customFormat="1" x14ac:dyDescent="0.25">
      <c r="A82" s="145">
        <v>2406</v>
      </c>
      <c r="B82" s="146"/>
      <c r="C82" s="147"/>
      <c r="D82" s="78" t="s">
        <v>108</v>
      </c>
      <c r="E82" s="79">
        <f>+E83+E87</f>
        <v>23645.55</v>
      </c>
      <c r="F82" s="79">
        <v>121780</v>
      </c>
      <c r="G82" s="79">
        <v>110003.7</v>
      </c>
      <c r="H82" s="79">
        <v>0</v>
      </c>
      <c r="I82" s="80">
        <v>0</v>
      </c>
    </row>
    <row r="83" spans="1:9" s="83" customFormat="1" x14ac:dyDescent="0.25">
      <c r="A83" s="145" t="s">
        <v>109</v>
      </c>
      <c r="B83" s="146"/>
      <c r="C83" s="147"/>
      <c r="D83" s="75" t="s">
        <v>110</v>
      </c>
      <c r="E83" s="76">
        <v>17395.55</v>
      </c>
      <c r="F83" s="76">
        <v>121780</v>
      </c>
      <c r="G83" s="76">
        <v>110003.7</v>
      </c>
      <c r="H83" s="76">
        <v>0</v>
      </c>
      <c r="I83" s="77">
        <v>0</v>
      </c>
    </row>
    <row r="84" spans="1:9" s="83" customFormat="1" x14ac:dyDescent="0.25">
      <c r="A84" s="145">
        <v>32400</v>
      </c>
      <c r="B84" s="146"/>
      <c r="C84" s="147"/>
      <c r="D84" s="74" t="s">
        <v>85</v>
      </c>
      <c r="E84" s="85">
        <v>17395.55</v>
      </c>
      <c r="F84" s="85">
        <v>121780</v>
      </c>
      <c r="G84" s="85">
        <v>110003.7</v>
      </c>
      <c r="H84" s="85">
        <v>0</v>
      </c>
      <c r="I84" s="86">
        <v>0</v>
      </c>
    </row>
    <row r="85" spans="1:9" x14ac:dyDescent="0.25">
      <c r="A85" s="48">
        <v>4</v>
      </c>
      <c r="B85" s="55"/>
      <c r="C85" s="55"/>
      <c r="D85" s="49" t="s">
        <v>5</v>
      </c>
      <c r="E85" s="50">
        <v>17395.55</v>
      </c>
      <c r="F85" s="50">
        <v>121780</v>
      </c>
      <c r="G85" s="50">
        <v>110003.7</v>
      </c>
      <c r="H85" s="50">
        <v>0</v>
      </c>
      <c r="I85" s="58">
        <v>0</v>
      </c>
    </row>
    <row r="86" spans="1:9" x14ac:dyDescent="0.25">
      <c r="A86" s="48">
        <v>42</v>
      </c>
      <c r="B86" s="55"/>
      <c r="C86" s="55"/>
      <c r="D86" s="49" t="s">
        <v>119</v>
      </c>
      <c r="E86" s="53">
        <v>17395.55</v>
      </c>
      <c r="F86" s="53">
        <v>121780</v>
      </c>
      <c r="G86" s="53">
        <v>110003.7</v>
      </c>
      <c r="H86" s="53">
        <v>0</v>
      </c>
      <c r="I86" s="59">
        <v>0</v>
      </c>
    </row>
    <row r="87" spans="1:9" s="83" customFormat="1" x14ac:dyDescent="0.25">
      <c r="A87" s="145" t="s">
        <v>111</v>
      </c>
      <c r="B87" s="146"/>
      <c r="C87" s="81"/>
      <c r="D87" s="75" t="s">
        <v>112</v>
      </c>
      <c r="E87" s="76">
        <f>+E88+E91</f>
        <v>6250</v>
      </c>
      <c r="F87" s="76">
        <f t="shared" ref="F87:I87" si="18">+F88+F91</f>
        <v>0</v>
      </c>
      <c r="G87" s="76">
        <f t="shared" si="18"/>
        <v>0</v>
      </c>
      <c r="H87" s="76">
        <f t="shared" si="18"/>
        <v>0</v>
      </c>
      <c r="I87" s="77">
        <f t="shared" si="18"/>
        <v>0</v>
      </c>
    </row>
    <row r="88" spans="1:9" s="83" customFormat="1" x14ac:dyDescent="0.25">
      <c r="A88" s="145">
        <v>11001</v>
      </c>
      <c r="B88" s="146"/>
      <c r="C88" s="82"/>
      <c r="D88" s="74" t="s">
        <v>94</v>
      </c>
      <c r="E88" s="85">
        <v>3000</v>
      </c>
      <c r="F88" s="85">
        <v>0</v>
      </c>
      <c r="G88" s="85">
        <v>0</v>
      </c>
      <c r="H88" s="85">
        <v>0</v>
      </c>
      <c r="I88" s="86">
        <v>0</v>
      </c>
    </row>
    <row r="89" spans="1:9" x14ac:dyDescent="0.25">
      <c r="A89" s="48">
        <v>4</v>
      </c>
      <c r="B89" s="55"/>
      <c r="C89" s="55"/>
      <c r="D89" s="49" t="s">
        <v>5</v>
      </c>
      <c r="E89" s="50">
        <v>3000</v>
      </c>
      <c r="F89" s="50">
        <v>0</v>
      </c>
      <c r="G89" s="50">
        <v>0</v>
      </c>
      <c r="H89" s="50">
        <v>0</v>
      </c>
      <c r="I89" s="58">
        <v>0</v>
      </c>
    </row>
    <row r="90" spans="1:9" x14ac:dyDescent="0.25">
      <c r="A90" s="48">
        <v>42</v>
      </c>
      <c r="B90" s="55"/>
      <c r="C90" s="55"/>
      <c r="D90" s="49" t="s">
        <v>119</v>
      </c>
      <c r="E90" s="50">
        <v>3000</v>
      </c>
      <c r="F90" s="50">
        <v>0</v>
      </c>
      <c r="G90" s="50">
        <v>0</v>
      </c>
      <c r="H90" s="50">
        <v>0</v>
      </c>
      <c r="I90" s="58">
        <v>0</v>
      </c>
    </row>
    <row r="91" spans="1:9" s="83" customFormat="1" x14ac:dyDescent="0.25">
      <c r="A91" s="145">
        <v>53082</v>
      </c>
      <c r="B91" s="146"/>
      <c r="C91" s="81"/>
      <c r="D91" s="85" t="s">
        <v>90</v>
      </c>
      <c r="E91" s="85">
        <v>3250</v>
      </c>
      <c r="F91" s="85">
        <v>0</v>
      </c>
      <c r="G91" s="85">
        <v>0</v>
      </c>
      <c r="H91" s="85">
        <v>0</v>
      </c>
      <c r="I91" s="86">
        <v>0</v>
      </c>
    </row>
    <row r="92" spans="1:9" x14ac:dyDescent="0.25">
      <c r="A92" s="48">
        <v>4</v>
      </c>
      <c r="B92" s="55"/>
      <c r="C92" s="55"/>
      <c r="D92" s="49" t="s">
        <v>5</v>
      </c>
      <c r="E92" s="50">
        <v>3250</v>
      </c>
      <c r="F92" s="50">
        <v>0</v>
      </c>
      <c r="G92" s="50">
        <v>0</v>
      </c>
      <c r="H92" s="50">
        <v>0</v>
      </c>
      <c r="I92" s="58">
        <v>0</v>
      </c>
    </row>
    <row r="93" spans="1:9" x14ac:dyDescent="0.25">
      <c r="A93" s="48">
        <v>42</v>
      </c>
      <c r="B93" s="55"/>
      <c r="C93" s="55"/>
      <c r="D93" s="49" t="s">
        <v>119</v>
      </c>
      <c r="E93" s="53">
        <v>3250</v>
      </c>
      <c r="F93" s="53">
        <v>0</v>
      </c>
      <c r="G93" s="53">
        <v>0</v>
      </c>
      <c r="H93" s="53">
        <v>0</v>
      </c>
      <c r="I93" s="59">
        <v>0</v>
      </c>
    </row>
    <row r="94" spans="1:9" s="83" customFormat="1" x14ac:dyDescent="0.25">
      <c r="A94" s="145">
        <v>9108</v>
      </c>
      <c r="B94" s="146"/>
      <c r="C94" s="81"/>
      <c r="D94" s="78" t="s">
        <v>113</v>
      </c>
      <c r="E94" s="79">
        <v>7160.1399999999994</v>
      </c>
      <c r="F94" s="79">
        <v>24361</v>
      </c>
      <c r="G94" s="79">
        <v>0</v>
      </c>
      <c r="H94" s="79">
        <v>0</v>
      </c>
      <c r="I94" s="80">
        <v>0</v>
      </c>
    </row>
    <row r="95" spans="1:9" s="83" customFormat="1" x14ac:dyDescent="0.25">
      <c r="A95" s="145" t="s">
        <v>114</v>
      </c>
      <c r="B95" s="146"/>
      <c r="C95" s="81"/>
      <c r="D95" s="75" t="s">
        <v>115</v>
      </c>
      <c r="E95" s="85">
        <v>7160.1399999999994</v>
      </c>
      <c r="F95" s="85">
        <v>24361</v>
      </c>
      <c r="G95" s="85">
        <v>0</v>
      </c>
      <c r="H95" s="85">
        <v>0</v>
      </c>
      <c r="I95" s="86">
        <v>0</v>
      </c>
    </row>
    <row r="96" spans="1:9" s="83" customFormat="1" x14ac:dyDescent="0.25">
      <c r="A96" s="145">
        <v>11001</v>
      </c>
      <c r="B96" s="146"/>
      <c r="C96" s="81"/>
      <c r="D96" s="74" t="s">
        <v>94</v>
      </c>
      <c r="E96" s="85">
        <v>3408.2</v>
      </c>
      <c r="F96" s="85">
        <v>4833</v>
      </c>
      <c r="G96" s="85">
        <v>0</v>
      </c>
      <c r="H96" s="85">
        <v>0</v>
      </c>
      <c r="I96" s="86">
        <v>0</v>
      </c>
    </row>
    <row r="97" spans="1:9" x14ac:dyDescent="0.25">
      <c r="A97" s="48">
        <v>3</v>
      </c>
      <c r="B97" s="56"/>
      <c r="C97" s="56"/>
      <c r="D97" s="49" t="s">
        <v>22</v>
      </c>
      <c r="E97" s="50">
        <v>3408.2</v>
      </c>
      <c r="F97" s="50">
        <v>4833</v>
      </c>
      <c r="G97" s="50">
        <v>0</v>
      </c>
      <c r="H97" s="50">
        <v>0</v>
      </c>
      <c r="I97" s="58">
        <v>0</v>
      </c>
    </row>
    <row r="98" spans="1:9" x14ac:dyDescent="0.25">
      <c r="A98" s="48">
        <v>31</v>
      </c>
      <c r="B98" s="56"/>
      <c r="C98" s="56"/>
      <c r="D98" s="49" t="s">
        <v>25</v>
      </c>
      <c r="E98" s="50">
        <v>3258.02</v>
      </c>
      <c r="F98" s="50">
        <v>4678</v>
      </c>
      <c r="G98" s="50">
        <v>0</v>
      </c>
      <c r="H98" s="50">
        <v>0</v>
      </c>
      <c r="I98" s="58">
        <v>0</v>
      </c>
    </row>
    <row r="99" spans="1:9" x14ac:dyDescent="0.25">
      <c r="A99" s="48">
        <v>32</v>
      </c>
      <c r="B99" s="56"/>
      <c r="C99" s="56"/>
      <c r="D99" s="52" t="s">
        <v>40</v>
      </c>
      <c r="E99" s="50">
        <v>150.18</v>
      </c>
      <c r="F99" s="50">
        <v>155</v>
      </c>
      <c r="G99" s="50">
        <v>0</v>
      </c>
      <c r="H99" s="50">
        <v>0</v>
      </c>
      <c r="I99" s="58">
        <v>0</v>
      </c>
    </row>
    <row r="100" spans="1:9" s="83" customFormat="1" x14ac:dyDescent="0.25">
      <c r="A100" s="145">
        <v>51100</v>
      </c>
      <c r="B100" s="146"/>
      <c r="C100" s="81"/>
      <c r="D100" s="74" t="s">
        <v>116</v>
      </c>
      <c r="E100" s="85">
        <v>3751.94</v>
      </c>
      <c r="F100" s="85">
        <v>19528</v>
      </c>
      <c r="G100" s="85">
        <v>0</v>
      </c>
      <c r="H100" s="85">
        <v>0</v>
      </c>
      <c r="I100" s="86">
        <v>0</v>
      </c>
    </row>
    <row r="101" spans="1:9" x14ac:dyDescent="0.25">
      <c r="A101" s="48">
        <v>3</v>
      </c>
      <c r="B101" s="56"/>
      <c r="C101" s="56"/>
      <c r="D101" s="49" t="s">
        <v>22</v>
      </c>
      <c r="E101" s="50">
        <v>3751.94</v>
      </c>
      <c r="F101" s="50">
        <v>19528</v>
      </c>
      <c r="G101" s="50">
        <v>0</v>
      </c>
      <c r="H101" s="50">
        <v>0</v>
      </c>
      <c r="I101" s="58">
        <v>0</v>
      </c>
    </row>
    <row r="102" spans="1:9" ht="15.6" customHeight="1" x14ac:dyDescent="0.25">
      <c r="A102" s="48">
        <v>31</v>
      </c>
      <c r="B102" s="56"/>
      <c r="C102" s="56"/>
      <c r="D102" s="49" t="s">
        <v>25</v>
      </c>
      <c r="E102" s="50">
        <v>3586.62</v>
      </c>
      <c r="F102" s="50">
        <v>18901</v>
      </c>
      <c r="G102" s="50">
        <v>0</v>
      </c>
      <c r="H102" s="50">
        <v>0</v>
      </c>
      <c r="I102" s="58">
        <v>0</v>
      </c>
    </row>
    <row r="103" spans="1:9" x14ac:dyDescent="0.25">
      <c r="A103" s="51">
        <v>32</v>
      </c>
      <c r="B103" s="57"/>
      <c r="C103" s="57"/>
      <c r="D103" s="52" t="s">
        <v>40</v>
      </c>
      <c r="E103" s="53">
        <v>165.32</v>
      </c>
      <c r="F103" s="53">
        <v>627</v>
      </c>
      <c r="G103" s="53">
        <v>0</v>
      </c>
      <c r="H103" s="53">
        <v>0</v>
      </c>
      <c r="I103" s="59">
        <v>0</v>
      </c>
    </row>
    <row r="104" spans="1:9" x14ac:dyDescent="0.25">
      <c r="E104" s="84"/>
      <c r="F104" s="84"/>
      <c r="G104" s="84"/>
      <c r="H104" s="54"/>
      <c r="I104" s="54"/>
    </row>
    <row r="105" spans="1:9" x14ac:dyDescent="0.25">
      <c r="E105" s="84"/>
      <c r="F105" s="84"/>
      <c r="G105" s="84"/>
      <c r="H105" s="84"/>
      <c r="I105" s="84"/>
    </row>
    <row r="106" spans="1:9" x14ac:dyDescent="0.25">
      <c r="E106" s="84"/>
      <c r="F106" s="84"/>
      <c r="G106" s="84"/>
      <c r="H106" s="84"/>
      <c r="I106" s="84"/>
    </row>
    <row r="107" spans="1:9" x14ac:dyDescent="0.25">
      <c r="E107" s="84"/>
      <c r="F107" s="84"/>
      <c r="G107" s="84"/>
      <c r="H107" s="84"/>
      <c r="I107" s="84"/>
    </row>
    <row r="108" spans="1:9" x14ac:dyDescent="0.25">
      <c r="E108" s="84"/>
      <c r="F108" s="84"/>
      <c r="G108" s="84"/>
      <c r="H108" s="84"/>
      <c r="I108" s="84"/>
    </row>
    <row r="109" spans="1:9" x14ac:dyDescent="0.25">
      <c r="E109" s="84"/>
      <c r="F109" s="84"/>
      <c r="G109" s="84"/>
      <c r="H109" s="84"/>
      <c r="I109" s="84"/>
    </row>
    <row r="110" spans="1:9" x14ac:dyDescent="0.25">
      <c r="E110" s="84"/>
      <c r="F110" s="84"/>
      <c r="G110" s="84"/>
      <c r="H110" s="84"/>
      <c r="I110" s="84"/>
    </row>
    <row r="111" spans="1:9" x14ac:dyDescent="0.25">
      <c r="E111" s="84"/>
      <c r="F111" s="84"/>
      <c r="G111" s="84"/>
      <c r="H111" s="84"/>
      <c r="I111" s="84"/>
    </row>
    <row r="112" spans="1:9" x14ac:dyDescent="0.25">
      <c r="E112" s="84"/>
      <c r="F112" s="84"/>
      <c r="G112" s="84"/>
      <c r="H112" s="84"/>
      <c r="I112" s="84"/>
    </row>
    <row r="113" spans="5:9" x14ac:dyDescent="0.25">
      <c r="E113" s="84"/>
      <c r="F113" s="84"/>
      <c r="G113" s="84"/>
      <c r="H113" s="84"/>
      <c r="I113" s="84"/>
    </row>
    <row r="114" spans="5:9" x14ac:dyDescent="0.25">
      <c r="E114" s="84"/>
      <c r="F114" s="84"/>
      <c r="G114" s="84"/>
      <c r="H114" s="84"/>
      <c r="I114" s="84"/>
    </row>
    <row r="115" spans="5:9" x14ac:dyDescent="0.25">
      <c r="E115" s="84"/>
      <c r="F115" s="84"/>
      <c r="G115" s="84"/>
      <c r="H115" s="84"/>
      <c r="I115" s="84"/>
    </row>
    <row r="116" spans="5:9" x14ac:dyDescent="0.25">
      <c r="E116" s="84"/>
      <c r="F116" s="84"/>
      <c r="G116" s="84"/>
      <c r="H116" s="84"/>
      <c r="I116" s="84"/>
    </row>
    <row r="117" spans="5:9" x14ac:dyDescent="0.25">
      <c r="E117" s="84"/>
      <c r="F117" s="84"/>
      <c r="G117" s="84"/>
      <c r="H117" s="84"/>
      <c r="I117" s="84"/>
    </row>
  </sheetData>
  <mergeCells count="53">
    <mergeCell ref="A18:C18"/>
    <mergeCell ref="A19:C19"/>
    <mergeCell ref="A12:C12"/>
    <mergeCell ref="A13:C13"/>
    <mergeCell ref="A14:C14"/>
    <mergeCell ref="A15:C15"/>
    <mergeCell ref="A17:C17"/>
    <mergeCell ref="A8:C8"/>
    <mergeCell ref="A9:C9"/>
    <mergeCell ref="A11:C11"/>
    <mergeCell ref="A10:C10"/>
    <mergeCell ref="A16:C16"/>
    <mergeCell ref="A6:C6"/>
    <mergeCell ref="A7:C7"/>
    <mergeCell ref="A1:I1"/>
    <mergeCell ref="A3:I3"/>
    <mergeCell ref="A5:C5"/>
    <mergeCell ref="A20:C20"/>
    <mergeCell ref="A21:C21"/>
    <mergeCell ref="A22:C22"/>
    <mergeCell ref="A23:C23"/>
    <mergeCell ref="A27:C27"/>
    <mergeCell ref="A41:C41"/>
    <mergeCell ref="A42:C42"/>
    <mergeCell ref="A47:C47"/>
    <mergeCell ref="A28:C28"/>
    <mergeCell ref="A31:C31"/>
    <mergeCell ref="A32:C32"/>
    <mergeCell ref="A35:C35"/>
    <mergeCell ref="A38:C38"/>
    <mergeCell ref="A48:C48"/>
    <mergeCell ref="A49:C49"/>
    <mergeCell ref="A52:C52"/>
    <mergeCell ref="A53:C53"/>
    <mergeCell ref="A57:C57"/>
    <mergeCell ref="A74:C74"/>
    <mergeCell ref="A75:C75"/>
    <mergeCell ref="A78:C78"/>
    <mergeCell ref="A79:C79"/>
    <mergeCell ref="A58:C58"/>
    <mergeCell ref="A61:C61"/>
    <mergeCell ref="A62:C62"/>
    <mergeCell ref="A67:C67"/>
    <mergeCell ref="A82:C82"/>
    <mergeCell ref="A83:C83"/>
    <mergeCell ref="A84:C84"/>
    <mergeCell ref="A87:B87"/>
    <mergeCell ref="A88:B88"/>
    <mergeCell ref="A91:B91"/>
    <mergeCell ref="A94:B94"/>
    <mergeCell ref="A95:B95"/>
    <mergeCell ref="A96:B96"/>
    <mergeCell ref="A100:B100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D40" sqref="D4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00" t="s">
        <v>67</v>
      </c>
      <c r="B1" s="100"/>
      <c r="C1" s="100"/>
      <c r="D1" s="100"/>
      <c r="E1" s="100"/>
      <c r="F1" s="100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100" t="s">
        <v>37</v>
      </c>
      <c r="B3" s="100"/>
      <c r="C3" s="100"/>
      <c r="D3" s="100"/>
      <c r="E3" s="111"/>
      <c r="F3" s="111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100" t="s">
        <v>15</v>
      </c>
      <c r="B5" s="101"/>
      <c r="C5" s="101"/>
      <c r="D5" s="101"/>
      <c r="E5" s="101"/>
      <c r="F5" s="101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00" t="s">
        <v>27</v>
      </c>
      <c r="B7" s="119"/>
      <c r="C7" s="119"/>
      <c r="D7" s="119"/>
      <c r="E7" s="119"/>
      <c r="F7" s="119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6" t="s">
        <v>28</v>
      </c>
      <c r="B9" s="25" t="s">
        <v>12</v>
      </c>
      <c r="C9" s="26" t="s">
        <v>13</v>
      </c>
      <c r="D9" s="26" t="s">
        <v>60</v>
      </c>
      <c r="E9" s="26" t="s">
        <v>61</v>
      </c>
      <c r="F9" s="26" t="s">
        <v>62</v>
      </c>
    </row>
    <row r="10" spans="1:6" ht="15.75" customHeight="1" x14ac:dyDescent="0.25">
      <c r="A10" s="13" t="s">
        <v>29</v>
      </c>
      <c r="B10" s="10">
        <f>+B11</f>
        <v>741920.59327095351</v>
      </c>
      <c r="C10" s="10">
        <f t="shared" ref="C10:F11" si="0">+C11</f>
        <v>931011.08235450252</v>
      </c>
      <c r="D10" s="10">
        <v>929222</v>
      </c>
      <c r="E10" s="10">
        <f t="shared" si="0"/>
        <v>737225.00099542097</v>
      </c>
      <c r="F10" s="10">
        <f t="shared" si="0"/>
        <v>737225.00099542097</v>
      </c>
    </row>
    <row r="11" spans="1:6" ht="15.75" customHeight="1" x14ac:dyDescent="0.3">
      <c r="A11" s="13" t="s">
        <v>72</v>
      </c>
      <c r="B11" s="10">
        <f>+B12</f>
        <v>741920.59327095351</v>
      </c>
      <c r="C11" s="10">
        <f t="shared" si="0"/>
        <v>931011.08235450252</v>
      </c>
      <c r="D11" s="10">
        <v>929222</v>
      </c>
      <c r="E11" s="10">
        <f t="shared" si="0"/>
        <v>737225.00099542097</v>
      </c>
      <c r="F11" s="10">
        <f t="shared" si="0"/>
        <v>737225.00099542097</v>
      </c>
    </row>
    <row r="12" spans="1:6" x14ac:dyDescent="0.25">
      <c r="A12" s="20" t="s">
        <v>73</v>
      </c>
      <c r="B12" s="10">
        <f>5590000.71/7.5345</f>
        <v>741920.59327095351</v>
      </c>
      <c r="C12" s="11">
        <f>7014703/7.5345</f>
        <v>931011.08235450252</v>
      </c>
      <c r="D12" s="10">
        <v>929222</v>
      </c>
      <c r="E12" s="11">
        <f>5554621.77/7.5345</f>
        <v>737225.00099542097</v>
      </c>
      <c r="F12" s="11">
        <f>5554621.77/7.5345</f>
        <v>737225.00099542097</v>
      </c>
    </row>
    <row r="13" spans="1:6" ht="14.45" hidden="1" x14ac:dyDescent="0.3">
      <c r="A13" s="19" t="s">
        <v>30</v>
      </c>
      <c r="B13" s="10"/>
      <c r="C13" s="11"/>
      <c r="D13" s="10">
        <v>929222</v>
      </c>
      <c r="E13" s="11"/>
      <c r="F13" s="11"/>
    </row>
    <row r="14" spans="1:6" hidden="1" x14ac:dyDescent="0.25">
      <c r="A14" s="13" t="s">
        <v>31</v>
      </c>
      <c r="B14" s="10"/>
      <c r="C14" s="11"/>
      <c r="D14" s="10">
        <v>929222</v>
      </c>
      <c r="E14" s="11"/>
      <c r="F14" s="12"/>
    </row>
    <row r="15" spans="1:6" ht="26.45" hidden="1" x14ac:dyDescent="0.3">
      <c r="A15" s="21" t="s">
        <v>32</v>
      </c>
      <c r="B15" s="10"/>
      <c r="C15" s="11"/>
      <c r="D15" s="10">
        <v>929222</v>
      </c>
      <c r="E15" s="11"/>
      <c r="F15" s="12"/>
    </row>
    <row r="18" spans="1:8" ht="15.75" x14ac:dyDescent="0.25">
      <c r="A18" s="153" t="s">
        <v>126</v>
      </c>
      <c r="E18" s="154"/>
      <c r="F18" s="156" t="s">
        <v>127</v>
      </c>
      <c r="G18" s="156"/>
      <c r="H18" s="156"/>
    </row>
    <row r="19" spans="1:8" ht="15.75" x14ac:dyDescent="0.25">
      <c r="A19" s="153" t="s">
        <v>129</v>
      </c>
      <c r="E19" s="154"/>
      <c r="F19" s="157" t="s">
        <v>128</v>
      </c>
      <c r="G19" s="157"/>
      <c r="H19" s="157"/>
    </row>
    <row r="20" spans="1:8" ht="15.75" x14ac:dyDescent="0.25">
      <c r="A20" s="155" t="s">
        <v>125</v>
      </c>
      <c r="B20" s="61"/>
      <c r="C20" s="61"/>
      <c r="D20" s="61"/>
      <c r="E20" s="154"/>
    </row>
  </sheetData>
  <mergeCells count="6">
    <mergeCell ref="F19:H19"/>
    <mergeCell ref="A1:F1"/>
    <mergeCell ref="A3:F3"/>
    <mergeCell ref="A5:F5"/>
    <mergeCell ref="A7:F7"/>
    <mergeCell ref="F18:H18"/>
  </mergeCells>
  <pageMargins left="0.7" right="0.7" top="0.75" bottom="0.75" header="0.3" footer="0.3"/>
  <pageSetup paperSize="9" scale="72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H27" sqref="H2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00" t="s">
        <v>67</v>
      </c>
      <c r="B1" s="100"/>
      <c r="C1" s="100"/>
      <c r="D1" s="100"/>
      <c r="E1" s="100"/>
      <c r="F1" s="100"/>
      <c r="G1" s="100"/>
      <c r="H1" s="100"/>
      <c r="I1" s="100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00" t="s">
        <v>37</v>
      </c>
      <c r="B3" s="100"/>
      <c r="C3" s="100"/>
      <c r="D3" s="100"/>
      <c r="E3" s="100"/>
      <c r="F3" s="100"/>
      <c r="G3" s="100"/>
      <c r="H3" s="111"/>
      <c r="I3" s="111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00" t="s">
        <v>33</v>
      </c>
      <c r="B5" s="101"/>
      <c r="C5" s="101"/>
      <c r="D5" s="101"/>
      <c r="E5" s="101"/>
      <c r="F5" s="101"/>
      <c r="G5" s="101"/>
      <c r="H5" s="101"/>
      <c r="I5" s="101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6" t="s">
        <v>16</v>
      </c>
      <c r="B7" s="25" t="s">
        <v>17</v>
      </c>
      <c r="C7" s="25" t="s">
        <v>18</v>
      </c>
      <c r="D7" s="25" t="s">
        <v>71</v>
      </c>
      <c r="E7" s="25" t="s">
        <v>12</v>
      </c>
      <c r="F7" s="26" t="s">
        <v>13</v>
      </c>
      <c r="G7" s="26" t="s">
        <v>60</v>
      </c>
      <c r="H7" s="26" t="s">
        <v>61</v>
      </c>
      <c r="I7" s="26" t="s">
        <v>62</v>
      </c>
    </row>
    <row r="8" spans="1:9" ht="25.5" x14ac:dyDescent="0.25">
      <c r="A8" s="13">
        <v>8</v>
      </c>
      <c r="B8" s="13"/>
      <c r="C8" s="13"/>
      <c r="D8" s="13" t="s">
        <v>34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</row>
    <row r="9" spans="1:9" x14ac:dyDescent="0.25">
      <c r="A9" s="13"/>
      <c r="B9" s="18">
        <v>84</v>
      </c>
      <c r="C9" s="18"/>
      <c r="D9" s="18" t="s">
        <v>41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5">
      <c r="A10" s="14"/>
      <c r="B10" s="14"/>
      <c r="C10" s="15">
        <v>81</v>
      </c>
      <c r="D10" s="20" t="s">
        <v>42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5">
      <c r="A11" s="16">
        <v>5</v>
      </c>
      <c r="B11" s="17"/>
      <c r="C11" s="17"/>
      <c r="D11" s="31" t="s">
        <v>35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ht="26.45" x14ac:dyDescent="0.3">
      <c r="A12" s="18"/>
      <c r="B12" s="18">
        <v>54</v>
      </c>
      <c r="C12" s="18"/>
      <c r="D12" s="32" t="s">
        <v>43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</row>
    <row r="13" spans="1:9" x14ac:dyDescent="0.25">
      <c r="A13" s="18"/>
      <c r="B13" s="18"/>
      <c r="C13" s="15">
        <v>11</v>
      </c>
      <c r="D13" s="15" t="s">
        <v>20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</row>
    <row r="14" spans="1:9" ht="14.45" x14ac:dyDescent="0.3">
      <c r="A14" s="18"/>
      <c r="B14" s="18"/>
      <c r="C14" s="15">
        <v>31</v>
      </c>
      <c r="D14" s="15" t="s">
        <v>44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  <row r="16" spans="1:9" ht="15.75" x14ac:dyDescent="0.25">
      <c r="A16" s="153" t="s">
        <v>126</v>
      </c>
      <c r="E16" s="154"/>
      <c r="F16" s="156" t="s">
        <v>127</v>
      </c>
      <c r="G16" s="156"/>
      <c r="H16" s="156"/>
    </row>
    <row r="17" spans="1:8" ht="15.75" x14ac:dyDescent="0.25">
      <c r="A17" s="153" t="s">
        <v>129</v>
      </c>
      <c r="E17" s="154"/>
      <c r="F17" s="157" t="s">
        <v>128</v>
      </c>
      <c r="G17" s="157"/>
      <c r="H17" s="157"/>
    </row>
    <row r="18" spans="1:8" ht="15.75" x14ac:dyDescent="0.25">
      <c r="A18" s="155" t="s">
        <v>125</v>
      </c>
      <c r="B18" s="61"/>
      <c r="C18" s="61"/>
      <c r="D18" s="61"/>
      <c r="E18" s="154"/>
    </row>
  </sheetData>
  <mergeCells count="5">
    <mergeCell ref="A1:I1"/>
    <mergeCell ref="A3:I3"/>
    <mergeCell ref="A5:I5"/>
    <mergeCell ref="F16:H16"/>
    <mergeCell ref="F17:H17"/>
  </mergeCells>
  <pageMargins left="0.7" right="0.7" top="0.75" bottom="0.75" header="0.3" footer="0.3"/>
  <pageSetup paperSize="9" scale="76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SAŽETAK-EUR</vt:lpstr>
      <vt:lpstr>SAŽETAK-KN</vt:lpstr>
      <vt:lpstr> Račun prihoda i rashoda-EUR</vt:lpstr>
      <vt:lpstr> Račun prihoda i rashoda-KN</vt:lpstr>
      <vt:lpstr>POSEBNI DIO-EUR</vt:lpstr>
      <vt:lpstr>POSEBNI DIO-KN</vt:lpstr>
      <vt:lpstr>Rashodi-funkc.klas.</vt:lpstr>
      <vt:lpstr>Račun financ.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2023-01-10T09:28:46Z</cp:lastPrinted>
  <dcterms:created xsi:type="dcterms:W3CDTF">2022-08-12T12:51:27Z</dcterms:created>
  <dcterms:modified xsi:type="dcterms:W3CDTF">2023-01-10T09:29:00Z</dcterms:modified>
</cp:coreProperties>
</file>