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370" windowHeight="12180" tabRatio="675"/>
  </bookViews>
  <sheets>
    <sheet name="SAŽETAK" sheetId="8" r:id="rId1"/>
    <sheet name=" Račun prihoda i rashoda" sheetId="10" r:id="rId2"/>
    <sheet name=" Račun prihoda i rashoda-KN" sheetId="3" state="hidden" r:id="rId3"/>
    <sheet name="POSEBNI DIO" sheetId="9" r:id="rId4"/>
    <sheet name="POSEBNI DIO-KN" sheetId="7" state="hidden" r:id="rId5"/>
    <sheet name="Rashodi-funkc.klas." sheetId="5" r:id="rId6"/>
    <sheet name="Račun financ." sheetId="6" r:id="rId7"/>
    <sheet name="List2" sheetId="2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8" l="1"/>
  <c r="I12" i="8"/>
  <c r="H12" i="10"/>
  <c r="H41" i="10"/>
  <c r="E10" i="5"/>
  <c r="H45" i="10" l="1"/>
  <c r="G42" i="10"/>
  <c r="M63" i="9" l="1"/>
  <c r="M62" i="9" s="1"/>
  <c r="N63" i="9"/>
  <c r="N62" i="9" s="1"/>
  <c r="O63" i="9"/>
  <c r="O62" i="9" s="1"/>
  <c r="P63" i="9"/>
  <c r="P62" i="9" s="1"/>
  <c r="F56" i="10"/>
  <c r="F55" i="10" s="1"/>
  <c r="F53" i="10"/>
  <c r="F48" i="10"/>
  <c r="F39" i="10"/>
  <c r="F33" i="10"/>
  <c r="F25" i="10"/>
  <c r="F20" i="10"/>
  <c r="F18" i="10"/>
  <c r="F11" i="10"/>
  <c r="G14" i="8"/>
  <c r="G11" i="8"/>
  <c r="G8" i="8"/>
  <c r="C11" i="5"/>
  <c r="C12" i="5" s="1"/>
  <c r="P101" i="9"/>
  <c r="O101" i="9"/>
  <c r="N101" i="9"/>
  <c r="M101" i="9"/>
  <c r="J101" i="9"/>
  <c r="F101" i="9"/>
  <c r="K103" i="9"/>
  <c r="H103" i="9"/>
  <c r="P102" i="9"/>
  <c r="N102" i="9"/>
  <c r="L102" i="9"/>
  <c r="J102" i="9"/>
  <c r="H102" i="9"/>
  <c r="F102" i="9"/>
  <c r="F67" i="9"/>
  <c r="F68" i="9"/>
  <c r="L48" i="9"/>
  <c r="M33" i="9"/>
  <c r="L33" i="9"/>
  <c r="G33" i="9"/>
  <c r="I33" i="9"/>
  <c r="J33" i="9"/>
  <c r="J32" i="9" s="1"/>
  <c r="F33" i="9"/>
  <c r="L36" i="9"/>
  <c r="H35" i="9"/>
  <c r="K35" i="9"/>
  <c r="J115" i="9"/>
  <c r="J114" i="9" s="1"/>
  <c r="J113" i="9" s="1"/>
  <c r="J110" i="9"/>
  <c r="J107" i="9"/>
  <c r="J106" i="9" s="1"/>
  <c r="J104" i="9"/>
  <c r="J97" i="9"/>
  <c r="J96" i="9" s="1"/>
  <c r="J95" i="9" s="1"/>
  <c r="J94" i="9" s="1"/>
  <c r="J92" i="9"/>
  <c r="J91" i="9" s="1"/>
  <c r="J90" i="9" s="1"/>
  <c r="J87" i="9"/>
  <c r="J86" i="9"/>
  <c r="J84" i="9"/>
  <c r="J80" i="9"/>
  <c r="J79" i="9" s="1"/>
  <c r="J77" i="9"/>
  <c r="J75" i="9"/>
  <c r="J74" i="9"/>
  <c r="J72" i="9"/>
  <c r="J71" i="9"/>
  <c r="J70" i="9" s="1"/>
  <c r="J67" i="9"/>
  <c r="J66" i="9" s="1"/>
  <c r="J64" i="9"/>
  <c r="J63" i="9" s="1"/>
  <c r="J62" i="9" s="1"/>
  <c r="J59" i="9"/>
  <c r="J58" i="9"/>
  <c r="J57" i="9" s="1"/>
  <c r="J55" i="9"/>
  <c r="J54" i="9" s="1"/>
  <c r="J53" i="9" s="1"/>
  <c r="J48" i="9"/>
  <c r="J47" i="9" s="1"/>
  <c r="J46" i="9" s="1"/>
  <c r="J43" i="9"/>
  <c r="J41" i="9"/>
  <c r="J39" i="9"/>
  <c r="J36" i="9"/>
  <c r="J29" i="9"/>
  <c r="J28" i="9"/>
  <c r="J27" i="9" s="1"/>
  <c r="J24" i="9"/>
  <c r="J23" i="9" s="1"/>
  <c r="J22" i="9" s="1"/>
  <c r="E11" i="5"/>
  <c r="E12" i="5" s="1"/>
  <c r="F12" i="5"/>
  <c r="F11" i="5" s="1"/>
  <c r="G12" i="5"/>
  <c r="G11" i="5" s="1"/>
  <c r="F10" i="10" l="1"/>
  <c r="F32" i="10"/>
  <c r="D11" i="5"/>
  <c r="D12" i="5"/>
  <c r="J100" i="9"/>
  <c r="K102" i="9"/>
  <c r="J38" i="9"/>
  <c r="J52" i="9"/>
  <c r="J99" i="9"/>
  <c r="J21" i="9"/>
  <c r="J31" i="9"/>
  <c r="G27" i="10"/>
  <c r="G26" i="10"/>
  <c r="G24" i="10"/>
  <c r="G23" i="10"/>
  <c r="G22" i="10"/>
  <c r="G21" i="10"/>
  <c r="G19" i="10"/>
  <c r="G17" i="10"/>
  <c r="G16" i="10"/>
  <c r="G15" i="10"/>
  <c r="G14" i="10"/>
  <c r="G13" i="10"/>
  <c r="G12" i="10"/>
  <c r="J20" i="9" l="1"/>
  <c r="K40" i="9"/>
  <c r="L29" i="9"/>
  <c r="K29" i="9" s="1"/>
  <c r="K25" i="9"/>
  <c r="K26" i="9"/>
  <c r="K30" i="9"/>
  <c r="B11" i="5" l="1"/>
  <c r="B12" i="5" s="1"/>
  <c r="F124" i="9"/>
  <c r="F123" i="9" s="1"/>
  <c r="F117" i="9" s="1"/>
  <c r="F118" i="9"/>
  <c r="F119" i="9"/>
  <c r="F120" i="9"/>
  <c r="F110" i="9"/>
  <c r="F111" i="9"/>
  <c r="F108" i="9"/>
  <c r="F107" i="9" s="1"/>
  <c r="F87" i="9"/>
  <c r="F88" i="9"/>
  <c r="F44" i="9"/>
  <c r="F43" i="9" s="1"/>
  <c r="F29" i="9"/>
  <c r="F28" i="9" s="1"/>
  <c r="F27" i="9" s="1"/>
  <c r="F115" i="9"/>
  <c r="F114" i="9" s="1"/>
  <c r="F113" i="9" s="1"/>
  <c r="F104" i="9"/>
  <c r="F100" i="9" s="1"/>
  <c r="F97" i="9"/>
  <c r="F96" i="9" s="1"/>
  <c r="F95" i="9" s="1"/>
  <c r="F94" i="9" s="1"/>
  <c r="F92" i="9"/>
  <c r="F91" i="9" s="1"/>
  <c r="F90" i="9" s="1"/>
  <c r="F86" i="9"/>
  <c r="F84" i="9"/>
  <c r="F80" i="9"/>
  <c r="F77" i="9"/>
  <c r="F75" i="9"/>
  <c r="F72" i="9"/>
  <c r="F71" i="9" s="1"/>
  <c r="F66" i="9"/>
  <c r="F64" i="9"/>
  <c r="F63" i="9" s="1"/>
  <c r="F62" i="9" s="1"/>
  <c r="F59" i="9"/>
  <c r="F58" i="9"/>
  <c r="F57" i="9" s="1"/>
  <c r="F55" i="9"/>
  <c r="F54" i="9" s="1"/>
  <c r="F53" i="9" s="1"/>
  <c r="F48" i="9"/>
  <c r="F47" i="9" s="1"/>
  <c r="F46" i="9" s="1"/>
  <c r="F41" i="9"/>
  <c r="F39" i="9"/>
  <c r="F36" i="9"/>
  <c r="F24" i="9"/>
  <c r="F23" i="9" s="1"/>
  <c r="F22" i="9" s="1"/>
  <c r="H25" i="10"/>
  <c r="G25" i="10" s="1"/>
  <c r="H20" i="10"/>
  <c r="G20" i="10" s="1"/>
  <c r="H18" i="10"/>
  <c r="G18" i="10" s="1"/>
  <c r="H11" i="10"/>
  <c r="G11" i="10" s="1"/>
  <c r="F106" i="9" l="1"/>
  <c r="F99" i="9" s="1"/>
  <c r="F79" i="9"/>
  <c r="F74" i="9"/>
  <c r="F38" i="9"/>
  <c r="F32" i="9"/>
  <c r="H10" i="10"/>
  <c r="F70" i="9" l="1"/>
  <c r="F52" i="9" s="1"/>
  <c r="F31" i="9"/>
  <c r="F21" i="9" s="1"/>
  <c r="A1" i="6"/>
  <c r="A1" i="5"/>
  <c r="A1" i="9"/>
  <c r="A1" i="10"/>
  <c r="M94" i="9"/>
  <c r="I94" i="9"/>
  <c r="G94" i="9"/>
  <c r="H94" i="9" s="1"/>
  <c r="E94" i="9"/>
  <c r="L114" i="9"/>
  <c r="L115" i="9"/>
  <c r="L107" i="9"/>
  <c r="L104" i="9"/>
  <c r="L97" i="9"/>
  <c r="L96" i="9" s="1"/>
  <c r="L95" i="9" s="1"/>
  <c r="L94" i="9" s="1"/>
  <c r="L91" i="9"/>
  <c r="L92" i="9"/>
  <c r="P98" i="9"/>
  <c r="K98" i="9"/>
  <c r="H98" i="9"/>
  <c r="P97" i="9"/>
  <c r="K97" i="9"/>
  <c r="K96" i="9" s="1"/>
  <c r="K95" i="9" s="1"/>
  <c r="K94" i="9" s="1"/>
  <c r="H97" i="9"/>
  <c r="H96" i="9"/>
  <c r="P95" i="9"/>
  <c r="O95" i="9"/>
  <c r="O94" i="9" s="1"/>
  <c r="P94" i="9" s="1"/>
  <c r="M95" i="9"/>
  <c r="I95" i="9"/>
  <c r="H95" i="9"/>
  <c r="G95" i="9"/>
  <c r="E95" i="9"/>
  <c r="L84" i="9"/>
  <c r="L80" i="9"/>
  <c r="L77" i="9"/>
  <c r="L75" i="9"/>
  <c r="L74" i="9" s="1"/>
  <c r="G70" i="9"/>
  <c r="I70" i="9"/>
  <c r="L72" i="9"/>
  <c r="L71" i="9" s="1"/>
  <c r="P73" i="9"/>
  <c r="N73" i="9"/>
  <c r="K73" i="9"/>
  <c r="H73" i="9"/>
  <c r="P72" i="9"/>
  <c r="N72" i="9"/>
  <c r="H72" i="9"/>
  <c r="P71" i="9"/>
  <c r="N71" i="9"/>
  <c r="H71" i="9"/>
  <c r="H70" i="9" s="1"/>
  <c r="N66" i="9"/>
  <c r="K65" i="9"/>
  <c r="H65" i="9"/>
  <c r="L64" i="9"/>
  <c r="K64" i="9" s="1"/>
  <c r="H64" i="9"/>
  <c r="H63" i="9"/>
  <c r="I62" i="9"/>
  <c r="H62" i="9"/>
  <c r="G62" i="9"/>
  <c r="E62" i="9"/>
  <c r="L59" i="9"/>
  <c r="L58" i="9"/>
  <c r="L57" i="9" s="1"/>
  <c r="L55" i="9"/>
  <c r="L54" i="9" s="1"/>
  <c r="L53" i="9" s="1"/>
  <c r="L47" i="9"/>
  <c r="L46" i="9" s="1"/>
  <c r="L41" i="9"/>
  <c r="K41" i="9" s="1"/>
  <c r="L39" i="9"/>
  <c r="L32" i="9"/>
  <c r="K32" i="9" s="1"/>
  <c r="L28" i="9"/>
  <c r="L24" i="9"/>
  <c r="L113" i="9"/>
  <c r="L110" i="9"/>
  <c r="L90" i="9"/>
  <c r="L87" i="9"/>
  <c r="L86" i="9"/>
  <c r="L67" i="9"/>
  <c r="L66" i="9"/>
  <c r="L43" i="9"/>
  <c r="N38" i="9"/>
  <c r="G62" i="10"/>
  <c r="G51" i="10"/>
  <c r="G46" i="10"/>
  <c r="G47" i="10"/>
  <c r="G45" i="10"/>
  <c r="G44" i="10"/>
  <c r="G43" i="10"/>
  <c r="G35" i="10"/>
  <c r="G36" i="10"/>
  <c r="G37" i="10"/>
  <c r="G38" i="10"/>
  <c r="I33" i="10"/>
  <c r="J33" i="10"/>
  <c r="E33" i="10"/>
  <c r="E39" i="10"/>
  <c r="I48" i="10"/>
  <c r="J48" i="10"/>
  <c r="E48" i="10"/>
  <c r="I56" i="10"/>
  <c r="I55" i="10" s="1"/>
  <c r="J56" i="10"/>
  <c r="J55" i="10" s="1"/>
  <c r="E56" i="10"/>
  <c r="E55" i="10" s="1"/>
  <c r="H56" i="10"/>
  <c r="H55" i="10" s="1"/>
  <c r="H48" i="10"/>
  <c r="H39" i="10"/>
  <c r="G63" i="10"/>
  <c r="G61" i="10"/>
  <c r="G54" i="10"/>
  <c r="G53" i="10" s="1"/>
  <c r="H53" i="10"/>
  <c r="I53" i="10"/>
  <c r="J53" i="10"/>
  <c r="E53" i="10"/>
  <c r="H33" i="10"/>
  <c r="E32" i="10" l="1"/>
  <c r="H32" i="10"/>
  <c r="L101" i="9"/>
  <c r="L100" i="9" s="1"/>
  <c r="L99" i="9" s="1"/>
  <c r="L38" i="9"/>
  <c r="K39" i="9"/>
  <c r="L23" i="9"/>
  <c r="K24" i="9"/>
  <c r="L27" i="9"/>
  <c r="K27" i="9" s="1"/>
  <c r="K28" i="9"/>
  <c r="F20" i="9"/>
  <c r="K72" i="9"/>
  <c r="L106" i="9"/>
  <c r="K71" i="9"/>
  <c r="L79" i="9"/>
  <c r="L70" i="9" s="1"/>
  <c r="L63" i="9"/>
  <c r="L22" i="9" l="1"/>
  <c r="K22" i="9" s="1"/>
  <c r="K23" i="9"/>
  <c r="K63" i="9"/>
  <c r="L62" i="9"/>
  <c r="E26" i="10"/>
  <c r="E11" i="10"/>
  <c r="E23" i="10"/>
  <c r="E20" i="10" s="1"/>
  <c r="I11" i="8"/>
  <c r="I8" i="8"/>
  <c r="D10" i="5"/>
  <c r="K116" i="9"/>
  <c r="K115" i="9"/>
  <c r="K114" i="9"/>
  <c r="K113" i="9"/>
  <c r="E10" i="10" l="1"/>
  <c r="K62" i="9"/>
  <c r="L52" i="9"/>
  <c r="I14" i="8"/>
  <c r="H23" i="9"/>
  <c r="H24" i="9"/>
  <c r="H25" i="9"/>
  <c r="H26" i="9"/>
  <c r="H28" i="9"/>
  <c r="H29" i="9"/>
  <c r="H30" i="9"/>
  <c r="H32" i="9"/>
  <c r="H34" i="9"/>
  <c r="H33" i="9" s="1"/>
  <c r="H38" i="9"/>
  <c r="H42" i="9"/>
  <c r="H43" i="9"/>
  <c r="H44" i="9"/>
  <c r="H45" i="9"/>
  <c r="H47" i="9"/>
  <c r="H48" i="9"/>
  <c r="H49" i="9"/>
  <c r="H50" i="9"/>
  <c r="H51" i="9"/>
  <c r="H54" i="9"/>
  <c r="H55" i="9"/>
  <c r="H56" i="9"/>
  <c r="H58" i="9"/>
  <c r="H59" i="9"/>
  <c r="H60" i="9"/>
  <c r="H61" i="9"/>
  <c r="H67" i="9"/>
  <c r="H68" i="9"/>
  <c r="H69" i="9"/>
  <c r="H74" i="9"/>
  <c r="H75" i="9"/>
  <c r="H76" i="9"/>
  <c r="H78" i="9"/>
  <c r="H79" i="9"/>
  <c r="H80" i="9"/>
  <c r="H81" i="9"/>
  <c r="H82" i="9"/>
  <c r="H83" i="9"/>
  <c r="H85" i="9"/>
  <c r="H87" i="9"/>
  <c r="H88" i="9"/>
  <c r="H89" i="9"/>
  <c r="H91" i="9"/>
  <c r="H92" i="9"/>
  <c r="H93" i="9"/>
  <c r="H99" i="9"/>
  <c r="H100" i="9"/>
  <c r="H101" i="9"/>
  <c r="H104" i="9"/>
  <c r="H105" i="9"/>
  <c r="H107" i="9"/>
  <c r="H108" i="9"/>
  <c r="H109" i="9"/>
  <c r="H110" i="9"/>
  <c r="H111" i="9"/>
  <c r="H112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G57" i="10" l="1"/>
  <c r="G50" i="10"/>
  <c r="G49" i="10"/>
  <c r="G48" i="10" s="1"/>
  <c r="G41" i="10"/>
  <c r="G34" i="10"/>
  <c r="G33" i="10" s="1"/>
  <c r="H10" i="8"/>
  <c r="G58" i="10" l="1"/>
  <c r="G59" i="10"/>
  <c r="I40" i="10"/>
  <c r="I39" i="10" s="1"/>
  <c r="I32" i="10" s="1"/>
  <c r="J40" i="10"/>
  <c r="J39" i="10" s="1"/>
  <c r="J32" i="10" s="1"/>
  <c r="G40" i="10"/>
  <c r="H9" i="8"/>
  <c r="H13" i="8"/>
  <c r="M113" i="9"/>
  <c r="N113" i="9" s="1"/>
  <c r="E113" i="9"/>
  <c r="G113" i="9" s="1"/>
  <c r="P116" i="9"/>
  <c r="N116" i="9"/>
  <c r="P115" i="9"/>
  <c r="N115" i="9"/>
  <c r="P114" i="9"/>
  <c r="N114" i="9"/>
  <c r="O113" i="9"/>
  <c r="P113" i="9" s="1"/>
  <c r="G56" i="10" l="1"/>
  <c r="G55" i="10" s="1"/>
  <c r="G39" i="10"/>
  <c r="G32" i="10" s="1"/>
  <c r="H113" i="9"/>
  <c r="I113" i="9" s="1"/>
  <c r="K13" i="8"/>
  <c r="K12" i="8"/>
  <c r="K9" i="8"/>
  <c r="K8" i="8" s="1"/>
  <c r="J13" i="8"/>
  <c r="J12" i="8"/>
  <c r="J9" i="8"/>
  <c r="J8" i="8" s="1"/>
  <c r="H12" i="8"/>
  <c r="H11" i="8"/>
  <c r="F11" i="8"/>
  <c r="F8" i="8"/>
  <c r="K11" i="8" l="1"/>
  <c r="K14" i="8" s="1"/>
  <c r="J11" i="8"/>
  <c r="J14" i="8" s="1"/>
  <c r="H14" i="8"/>
  <c r="F14" i="8"/>
  <c r="F34" i="3"/>
  <c r="G34" i="3"/>
  <c r="H34" i="3"/>
  <c r="I34" i="3"/>
  <c r="E34" i="3"/>
  <c r="F20" i="3"/>
  <c r="G20" i="3"/>
  <c r="H20" i="3"/>
  <c r="I20" i="3"/>
  <c r="E20" i="3"/>
  <c r="I32" i="3"/>
  <c r="I29" i="3"/>
  <c r="I25" i="3"/>
  <c r="I27" i="3"/>
  <c r="H32" i="3"/>
  <c r="H29" i="3"/>
  <c r="H27" i="3"/>
  <c r="H25" i="3"/>
  <c r="G32" i="3"/>
  <c r="G29" i="3"/>
  <c r="G27" i="3"/>
  <c r="G25" i="3"/>
  <c r="F32" i="3"/>
  <c r="F29" i="3"/>
  <c r="F27" i="3"/>
  <c r="F25" i="3"/>
  <c r="E32" i="3"/>
  <c r="E29" i="3"/>
  <c r="E27" i="3"/>
  <c r="E25" i="3"/>
  <c r="F18" i="3"/>
  <c r="I15" i="3"/>
  <c r="H15" i="3"/>
  <c r="G15" i="3"/>
  <c r="F15" i="3"/>
  <c r="E15" i="3"/>
  <c r="I13" i="3"/>
  <c r="H13" i="3"/>
  <c r="G13" i="3"/>
  <c r="F13" i="3"/>
  <c r="E13" i="3"/>
  <c r="I11" i="3"/>
  <c r="H11" i="3"/>
  <c r="G11" i="3"/>
  <c r="F11" i="3"/>
  <c r="E11" i="3"/>
  <c r="J25" i="10"/>
  <c r="I25" i="10"/>
  <c r="E25" i="10"/>
  <c r="J20" i="10"/>
  <c r="I20" i="10"/>
  <c r="J18" i="10"/>
  <c r="I18" i="10"/>
  <c r="J11" i="10"/>
  <c r="I11" i="10"/>
  <c r="P126" i="9"/>
  <c r="P125" i="9"/>
  <c r="P124" i="9"/>
  <c r="P123" i="9"/>
  <c r="P122" i="9"/>
  <c r="P121" i="9"/>
  <c r="P120" i="9"/>
  <c r="P119" i="9"/>
  <c r="P118" i="9"/>
  <c r="P117" i="9"/>
  <c r="P112" i="9"/>
  <c r="P111" i="9"/>
  <c r="P110" i="9"/>
  <c r="P109" i="9"/>
  <c r="P108" i="9"/>
  <c r="P107" i="9"/>
  <c r="P105" i="9"/>
  <c r="P104" i="9"/>
  <c r="P100" i="9"/>
  <c r="P99" i="9"/>
  <c r="P93" i="9"/>
  <c r="P92" i="9"/>
  <c r="P91" i="9"/>
  <c r="P89" i="9"/>
  <c r="P88" i="9"/>
  <c r="P87" i="9"/>
  <c r="P85" i="9"/>
  <c r="P83" i="9"/>
  <c r="P82" i="9"/>
  <c r="P81" i="9"/>
  <c r="P80" i="9"/>
  <c r="P79" i="9"/>
  <c r="P78" i="9"/>
  <c r="P76" i="9"/>
  <c r="P75" i="9"/>
  <c r="P74" i="9"/>
  <c r="P69" i="9"/>
  <c r="P68" i="9"/>
  <c r="P67" i="9"/>
  <c r="P61" i="9"/>
  <c r="P60" i="9"/>
  <c r="P59" i="9"/>
  <c r="P58" i="9"/>
  <c r="P56" i="9"/>
  <c r="P55" i="9"/>
  <c r="P54" i="9"/>
  <c r="P51" i="9"/>
  <c r="P50" i="9"/>
  <c r="P49" i="9"/>
  <c r="P48" i="9"/>
  <c r="P47" i="9"/>
  <c r="P45" i="9"/>
  <c r="P44" i="9"/>
  <c r="P43" i="9"/>
  <c r="P42" i="9"/>
  <c r="P34" i="9"/>
  <c r="P33" i="9" s="1"/>
  <c r="P32" i="9"/>
  <c r="P30" i="9"/>
  <c r="P29" i="9"/>
  <c r="P28" i="9"/>
  <c r="P26" i="9"/>
  <c r="P25" i="9"/>
  <c r="P24" i="9"/>
  <c r="P23" i="9"/>
  <c r="N126" i="9"/>
  <c r="N125" i="9"/>
  <c r="N124" i="9"/>
  <c r="N123" i="9"/>
  <c r="N122" i="9"/>
  <c r="N121" i="9"/>
  <c r="N120" i="9"/>
  <c r="N119" i="9"/>
  <c r="N118" i="9"/>
  <c r="N117" i="9"/>
  <c r="N112" i="9"/>
  <c r="N111" i="9"/>
  <c r="N110" i="9"/>
  <c r="N109" i="9"/>
  <c r="N108" i="9"/>
  <c r="N107" i="9"/>
  <c r="N105" i="9"/>
  <c r="N104" i="9"/>
  <c r="N100" i="9"/>
  <c r="N99" i="9"/>
  <c r="N93" i="9"/>
  <c r="N92" i="9"/>
  <c r="N91" i="9"/>
  <c r="N89" i="9"/>
  <c r="N88" i="9"/>
  <c r="N87" i="9"/>
  <c r="N85" i="9"/>
  <c r="N83" i="9"/>
  <c r="N82" i="9"/>
  <c r="N81" i="9"/>
  <c r="N80" i="9"/>
  <c r="N79" i="9"/>
  <c r="N78" i="9"/>
  <c r="N76" i="9"/>
  <c r="N75" i="9"/>
  <c r="N74" i="9"/>
  <c r="N69" i="9"/>
  <c r="N68" i="9"/>
  <c r="N67" i="9"/>
  <c r="N61" i="9"/>
  <c r="N60" i="9"/>
  <c r="N59" i="9"/>
  <c r="N58" i="9"/>
  <c r="N56" i="9"/>
  <c r="N55" i="9"/>
  <c r="N54" i="9"/>
  <c r="N51" i="9"/>
  <c r="N50" i="9"/>
  <c r="N49" i="9"/>
  <c r="N48" i="9"/>
  <c r="N47" i="9"/>
  <c r="N45" i="9"/>
  <c r="N44" i="9"/>
  <c r="N43" i="9"/>
  <c r="N42" i="9"/>
  <c r="N34" i="9"/>
  <c r="N33" i="9" s="1"/>
  <c r="N32" i="9"/>
  <c r="N30" i="9"/>
  <c r="N29" i="9"/>
  <c r="N28" i="9"/>
  <c r="N26" i="9"/>
  <c r="N25" i="9"/>
  <c r="N24" i="9"/>
  <c r="N23" i="9"/>
  <c r="O106" i="9"/>
  <c r="P106" i="9" s="1"/>
  <c r="M106" i="9"/>
  <c r="N106" i="9" s="1"/>
  <c r="I106" i="9"/>
  <c r="G106" i="9"/>
  <c r="H106" i="9" s="1"/>
  <c r="E106" i="9"/>
  <c r="E99" i="9" s="1"/>
  <c r="O90" i="9"/>
  <c r="P90" i="9" s="1"/>
  <c r="M90" i="9"/>
  <c r="N90" i="9" s="1"/>
  <c r="I90" i="9"/>
  <c r="G90" i="9"/>
  <c r="H90" i="9" s="1"/>
  <c r="E90" i="9"/>
  <c r="O86" i="9"/>
  <c r="P86" i="9" s="1"/>
  <c r="M86" i="9"/>
  <c r="N86" i="9" s="1"/>
  <c r="I86" i="9"/>
  <c r="G86" i="9"/>
  <c r="H86" i="9" s="1"/>
  <c r="E86" i="9"/>
  <c r="O84" i="9"/>
  <c r="P84" i="9" s="1"/>
  <c r="M84" i="9"/>
  <c r="N84" i="9" s="1"/>
  <c r="I84" i="9"/>
  <c r="G84" i="9"/>
  <c r="H84" i="9" s="1"/>
  <c r="E84" i="9"/>
  <c r="O77" i="9"/>
  <c r="P77" i="9" s="1"/>
  <c r="M77" i="9"/>
  <c r="N77" i="9" s="1"/>
  <c r="I77" i="9"/>
  <c r="G77" i="9"/>
  <c r="H77" i="9" s="1"/>
  <c r="E77" i="9"/>
  <c r="O70" i="9"/>
  <c r="P70" i="9" s="1"/>
  <c r="M70" i="9"/>
  <c r="N70" i="9" s="1"/>
  <c r="E70" i="9"/>
  <c r="O66" i="9"/>
  <c r="P66" i="9" s="1"/>
  <c r="M66" i="9"/>
  <c r="I66" i="9"/>
  <c r="G66" i="9"/>
  <c r="H66" i="9" s="1"/>
  <c r="E66" i="9"/>
  <c r="O57" i="9"/>
  <c r="P57" i="9" s="1"/>
  <c r="M57" i="9"/>
  <c r="N57" i="9" s="1"/>
  <c r="I57" i="9"/>
  <c r="G57" i="9"/>
  <c r="H57" i="9" s="1"/>
  <c r="E57" i="9"/>
  <c r="O53" i="9"/>
  <c r="P53" i="9" s="1"/>
  <c r="M53" i="9"/>
  <c r="N53" i="9" s="1"/>
  <c r="I53" i="9"/>
  <c r="G53" i="9"/>
  <c r="H53" i="9" s="1"/>
  <c r="E53" i="9"/>
  <c r="O46" i="9"/>
  <c r="P46" i="9" s="1"/>
  <c r="M46" i="9"/>
  <c r="N46" i="9" s="1"/>
  <c r="I46" i="9"/>
  <c r="G46" i="9"/>
  <c r="H46" i="9" s="1"/>
  <c r="E46" i="9"/>
  <c r="O41" i="9"/>
  <c r="P41" i="9" s="1"/>
  <c r="M41" i="9"/>
  <c r="N41" i="9" s="1"/>
  <c r="I41" i="9"/>
  <c r="G41" i="9"/>
  <c r="H41" i="9" s="1"/>
  <c r="E41" i="9"/>
  <c r="I31" i="9"/>
  <c r="G31" i="9"/>
  <c r="H31" i="9" s="1"/>
  <c r="E31" i="9"/>
  <c r="O27" i="9"/>
  <c r="P27" i="9" s="1"/>
  <c r="M27" i="9"/>
  <c r="N27" i="9" s="1"/>
  <c r="I27" i="9"/>
  <c r="G27" i="9"/>
  <c r="H27" i="9" s="1"/>
  <c r="E27" i="9"/>
  <c r="O22" i="9"/>
  <c r="P22" i="9" s="1"/>
  <c r="M22" i="9"/>
  <c r="N22" i="9" s="1"/>
  <c r="I22" i="9"/>
  <c r="G22" i="9"/>
  <c r="H22" i="9" s="1"/>
  <c r="E22" i="9"/>
  <c r="I72" i="7"/>
  <c r="H72" i="7"/>
  <c r="G72" i="7"/>
  <c r="F72" i="7"/>
  <c r="E72" i="7"/>
  <c r="I65" i="7"/>
  <c r="H65" i="7"/>
  <c r="G65" i="7"/>
  <c r="F65" i="7"/>
  <c r="E65" i="7"/>
  <c r="I36" i="7"/>
  <c r="F36" i="7"/>
  <c r="G36" i="7"/>
  <c r="H36" i="7"/>
  <c r="E36" i="7"/>
  <c r="G10" i="10" l="1"/>
  <c r="G21" i="9"/>
  <c r="H21" i="9" s="1"/>
  <c r="I10" i="10"/>
  <c r="J10" i="10"/>
  <c r="E21" i="9"/>
  <c r="I21" i="9"/>
  <c r="I52" i="9"/>
  <c r="G52" i="9"/>
  <c r="H52" i="9" s="1"/>
  <c r="E52" i="9"/>
  <c r="O52" i="9"/>
  <c r="P52" i="9" s="1"/>
  <c r="M52" i="9"/>
  <c r="N52" i="9" s="1"/>
  <c r="F87" i="7"/>
  <c r="G87" i="7"/>
  <c r="H87" i="7"/>
  <c r="I87" i="7"/>
  <c r="E87" i="7"/>
  <c r="E82" i="7"/>
  <c r="F78" i="7"/>
  <c r="G78" i="7"/>
  <c r="H78" i="7"/>
  <c r="I78" i="7"/>
  <c r="E78" i="7"/>
  <c r="F74" i="7"/>
  <c r="G74" i="7"/>
  <c r="H74" i="7"/>
  <c r="I74" i="7"/>
  <c r="E74" i="7"/>
  <c r="F61" i="7"/>
  <c r="G61" i="7"/>
  <c r="H61" i="7"/>
  <c r="I61" i="7"/>
  <c r="E61" i="7"/>
  <c r="F57" i="7"/>
  <c r="G57" i="7"/>
  <c r="H57" i="7"/>
  <c r="H47" i="7" s="1"/>
  <c r="I57" i="7"/>
  <c r="E57" i="7"/>
  <c r="F52" i="7"/>
  <c r="G52" i="7"/>
  <c r="H52" i="7"/>
  <c r="I52" i="7"/>
  <c r="E52" i="7"/>
  <c r="F48" i="7"/>
  <c r="F47" i="7" s="1"/>
  <c r="G48" i="7"/>
  <c r="H48" i="7"/>
  <c r="I48" i="7"/>
  <c r="E48" i="7"/>
  <c r="F41" i="7"/>
  <c r="G41" i="7"/>
  <c r="H41" i="7"/>
  <c r="I41" i="7"/>
  <c r="E41" i="7"/>
  <c r="F31" i="7"/>
  <c r="F21" i="7" s="1"/>
  <c r="G31" i="7"/>
  <c r="H31" i="7"/>
  <c r="I31" i="7"/>
  <c r="E31" i="7"/>
  <c r="F27" i="7"/>
  <c r="G27" i="7"/>
  <c r="H27" i="7"/>
  <c r="I27" i="7"/>
  <c r="E27" i="7"/>
  <c r="F22" i="7"/>
  <c r="G22" i="7"/>
  <c r="H22" i="7"/>
  <c r="I22" i="7"/>
  <c r="E22" i="7"/>
  <c r="G21" i="7"/>
  <c r="I31" i="3"/>
  <c r="I24" i="3"/>
  <c r="F24" i="3"/>
  <c r="F31" i="3"/>
  <c r="G31" i="3"/>
  <c r="H31" i="3"/>
  <c r="G24" i="3"/>
  <c r="H24" i="3"/>
  <c r="E31" i="3"/>
  <c r="E24" i="3"/>
  <c r="I10" i="3"/>
  <c r="H10" i="3"/>
  <c r="G10" i="3"/>
  <c r="F17" i="3"/>
  <c r="G17" i="3"/>
  <c r="H17" i="3"/>
  <c r="I17" i="3"/>
  <c r="E17" i="3"/>
  <c r="F10" i="3"/>
  <c r="E10" i="3"/>
  <c r="I20" i="9" l="1"/>
  <c r="G20" i="9"/>
  <c r="H20" i="9" s="1"/>
  <c r="E20" i="9"/>
  <c r="H21" i="7"/>
  <c r="F20" i="7"/>
  <c r="G47" i="7"/>
  <c r="G20" i="7" s="1"/>
  <c r="I47" i="7"/>
  <c r="E47" i="7"/>
  <c r="H20" i="7"/>
  <c r="E21" i="7"/>
  <c r="I21" i="7"/>
  <c r="I20" i="7" l="1"/>
  <c r="E20" i="7"/>
  <c r="F27" i="8"/>
  <c r="H8" i="8"/>
  <c r="K111" i="9"/>
  <c r="K52" i="9"/>
  <c r="K20" i="9" s="1"/>
  <c r="K89" i="9"/>
  <c r="K53" i="9"/>
  <c r="K34" i="9"/>
  <c r="K120" i="9"/>
  <c r="K83" i="9"/>
  <c r="K124" i="9"/>
  <c r="K84" i="9"/>
  <c r="K56" i="9"/>
  <c r="K118" i="9"/>
  <c r="K125" i="9"/>
  <c r="K51" i="9"/>
  <c r="K76" i="9"/>
  <c r="K43" i="9"/>
  <c r="K60" i="9"/>
  <c r="K67" i="9"/>
  <c r="K69" i="9"/>
  <c r="K117" i="9"/>
  <c r="K50" i="9"/>
  <c r="K122" i="9"/>
  <c r="K87" i="9"/>
  <c r="K44" i="9"/>
  <c r="K81" i="9"/>
  <c r="K93" i="9"/>
  <c r="K88" i="9"/>
  <c r="K75" i="9"/>
  <c r="K58" i="9"/>
  <c r="K119" i="9"/>
  <c r="K82" i="9"/>
  <c r="K121" i="9"/>
  <c r="K107" i="9"/>
  <c r="K104" i="9"/>
  <c r="K101" i="9" s="1"/>
  <c r="K86" i="9"/>
  <c r="K48" i="9"/>
  <c r="K74" i="9"/>
  <c r="K47" i="9"/>
  <c r="K57" i="9"/>
  <c r="K105" i="9"/>
  <c r="K42" i="9"/>
  <c r="K68" i="9"/>
  <c r="K77" i="9"/>
  <c r="K90" i="9"/>
  <c r="K109" i="9"/>
  <c r="K66" i="9"/>
  <c r="K110" i="9"/>
  <c r="K54" i="9"/>
  <c r="K126" i="9"/>
  <c r="K85" i="9"/>
  <c r="K61" i="9"/>
  <c r="K92" i="9"/>
  <c r="K59" i="9"/>
  <c r="K49" i="9"/>
  <c r="K46" i="9"/>
  <c r="K99" i="9"/>
  <c r="K33" i="9"/>
  <c r="K100" i="9"/>
  <c r="K45" i="9"/>
  <c r="K112" i="9"/>
  <c r="K78" i="9"/>
  <c r="K91" i="9"/>
  <c r="K79" i="9"/>
  <c r="K108" i="9"/>
  <c r="K80" i="9"/>
  <c r="K106" i="9"/>
  <c r="K55" i="9"/>
  <c r="K123" i="9"/>
  <c r="P38" i="9"/>
  <c r="O31" i="9"/>
  <c r="P31" i="9" s="1"/>
  <c r="L31" i="9"/>
  <c r="K38" i="9"/>
  <c r="M31" i="9"/>
  <c r="M21" i="9" s="1"/>
  <c r="L21" i="9" l="1"/>
  <c r="K21" i="9" s="1"/>
  <c r="K31" i="9"/>
  <c r="O21" i="9"/>
  <c r="K70" i="9"/>
  <c r="M20" i="9"/>
  <c r="N20" i="9" s="1"/>
  <c r="N21" i="9"/>
  <c r="N31" i="9"/>
  <c r="F10" i="5"/>
  <c r="G10" i="5"/>
  <c r="L20" i="9" l="1"/>
  <c r="P21" i="9"/>
  <c r="O20" i="9"/>
  <c r="P20" i="9" s="1"/>
</calcChain>
</file>

<file path=xl/sharedStrings.xml><?xml version="1.0" encoding="utf-8"?>
<sst xmlns="http://schemas.openxmlformats.org/spreadsheetml/2006/main" count="476" uniqueCount="136">
  <si>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</si>
  <si>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</si>
  <si>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</si>
  <si>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</si>
  <si>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</si>
  <si>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</si>
  <si>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</si>
  <si>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</si>
  <si>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</si>
  <si>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</si>
  <si>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</si>
  <si>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</si>
  <si>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</si>
  <si>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</si>
  <si>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</si>
  <si>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</si>
  <si>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</si>
  <si>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</si>
  <si>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</si>
  <si>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</si>
  <si>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</si>
  <si>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</si>
  <si>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</si>
  <si>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</si>
  <si>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</si>
  <si>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</si>
  <si>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</si>
  <si>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</si>
  <si>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</si>
  <si>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</si>
  <si>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</si>
  <si>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</si>
  <si>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</si>
  <si>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</si>
  <si>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</si>
  <si>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</si>
  <si>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</si>
  <si>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</si>
  <si>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</si>
  <si>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</si>
  <si>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</si>
  <si>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</si>
  <si>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</si>
  <si>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</si>
  <si>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</si>
  <si>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</si>
  <si>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</si>
  <si>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</si>
  <si>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</si>
  <si>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</si>
  <si>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</si>
  <si>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</si>
  <si>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</si>
  <si>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</si>
  <si>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</si>
  <si>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</si>
  <si>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</si>
  <si>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</si>
  <si>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</si>
  <si>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</si>
  <si>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</si>
  <si>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</si>
  <si>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</si>
  <si>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Ostale pomoći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</si>
  <si>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</si>
  <si>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</si>
  <si>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</si>
  <si>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</si>
  <si>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09 OBRAZOVANJE</t>
  </si>
  <si>
    <t>092 Srednjoškolsko obrazovanje</t>
  </si>
  <si>
    <t>Prihodi od prodaje proizvoda i robe te pruženih usluga i prihodi od donacija</t>
  </si>
  <si>
    <t>Financijski rashodi</t>
  </si>
  <si>
    <t>REDOVNA DJELATNOST - MINIMALNI STANDARDI</t>
  </si>
  <si>
    <t>A220101</t>
  </si>
  <si>
    <t>MATERIJALNI RASHODI PO KRITERIJIMA</t>
  </si>
  <si>
    <t>Decentralizirana sredstva za SŠ</t>
  </si>
  <si>
    <t>Financijski  rashodi</t>
  </si>
  <si>
    <t>A220102</t>
  </si>
  <si>
    <t>MATER. RASHODI PO STVARNOM TROŠKU</t>
  </si>
  <si>
    <t>A220103</t>
  </si>
  <si>
    <t>MATERIJALNI RASHODI - DRUGI IZVORI</t>
  </si>
  <si>
    <t>Vlastiti prihodi SŠ</t>
  </si>
  <si>
    <t>Prihodi za posebne namjene za SŠ</t>
  </si>
  <si>
    <t>Donacije</t>
  </si>
  <si>
    <t>A220104</t>
  </si>
  <si>
    <t>PLAĆE I DR.RASHODI ZA ZAPOSLENE SŠ</t>
  </si>
  <si>
    <t>MZO za proračunske korisnike</t>
  </si>
  <si>
    <t>PROGRAMI OBRAZOVANJA IZNAD STANDARDA</t>
  </si>
  <si>
    <t>A230101</t>
  </si>
  <si>
    <t>MATERIJALNI TROŠKOVI IZNAD STANDARDA</t>
  </si>
  <si>
    <t>Nenamjenski prihodi i primici</t>
  </si>
  <si>
    <t>A230104</t>
  </si>
  <si>
    <t>POMOĆNICI U NASTAVI</t>
  </si>
  <si>
    <t>A230162</t>
  </si>
  <si>
    <t>NAKNADA ZA ŽSV</t>
  </si>
  <si>
    <t>AZZO za proračunske korisnike</t>
  </si>
  <si>
    <t>A230168</t>
  </si>
  <si>
    <t>EU PROJEKTI KOD PRORAČUNSKIH KORISNIKA</t>
  </si>
  <si>
    <t>Prihodi od institucija EU</t>
  </si>
  <si>
    <t>Ostale institucije za srednje škole</t>
  </si>
  <si>
    <t>A230176</t>
  </si>
  <si>
    <t>Državno natjecanje</t>
  </si>
  <si>
    <t>A230184</t>
  </si>
  <si>
    <t>ZAVIČAJNA NASTAVA</t>
  </si>
  <si>
    <t>OPREMANJE U SŠ</t>
  </si>
  <si>
    <t>K240601</t>
  </si>
  <si>
    <t>ŠKOLSKI NAMJEŠTAJ I OPREMA</t>
  </si>
  <si>
    <t>K240602</t>
  </si>
  <si>
    <t>OPREMANJE BIBLIOTEKE</t>
  </si>
  <si>
    <t>MOZAIK 4</t>
  </si>
  <si>
    <t>T910801</t>
  </si>
  <si>
    <t>PROVEDBA PROJEKTA MOZAIK 4</t>
  </si>
  <si>
    <t>Strukturni fondovi EU</t>
  </si>
  <si>
    <t>091</t>
  </si>
  <si>
    <t>17249 INDUSTRIJSKO-OBRTNIČKA ŠKOLA PULA</t>
  </si>
  <si>
    <t>Rashodi za nabavu nefinan.imovine</t>
  </si>
  <si>
    <t>EUR</t>
  </si>
  <si>
    <t>K240604</t>
  </si>
  <si>
    <t>OPREMANJE KABINETA</t>
  </si>
  <si>
    <t>Razlika</t>
  </si>
  <si>
    <t>Novi plan 
za 2023.</t>
  </si>
  <si>
    <t>Izvršenje 2022.</t>
  </si>
  <si>
    <t>Ministarstvo znanosti i obrazovanja za proračunske korisnike</t>
  </si>
  <si>
    <t>Ostale institucije za SŠ</t>
  </si>
  <si>
    <t>Decentralizirana sredstva za kapitalno za SŠ</t>
  </si>
  <si>
    <t>Prihodi od upravnih i admin.pristojbi, po posebnim propisima i naknada</t>
  </si>
  <si>
    <t>Agencija za odgoj i obrazovanje za prorač.korisnike</t>
  </si>
  <si>
    <t xml:space="preserve"> </t>
  </si>
  <si>
    <t>A230116</t>
  </si>
  <si>
    <t>ŠKOLSKI LIST, ČASOPISI I KNJIGE</t>
  </si>
  <si>
    <t>A230209</t>
  </si>
  <si>
    <t>MENSTRUALNE HIGJENSKE POTREPŠTINE</t>
  </si>
  <si>
    <t>Ostali rashodi</t>
  </si>
  <si>
    <t>2302</t>
  </si>
  <si>
    <t>Ministarstvo rada, mirovinskog sustava, obitelji i socijalne politike za proračunske korisnike</t>
  </si>
  <si>
    <t>II. IZMJENE I DOPUNE FINANCIJSKOG PLANA INDUSTRIJSKO-OBRTNIČKE ŠKOLE PULA
ZA 2023. I PROJEKCIJA ZA 2024. I 2025.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</si>
</sst>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20" fillId="0" borderId="12" xfId="0" applyNumberFormat="1" applyFont="1" applyFill="1" applyBorder="1" applyAlignment="1" applyProtection="1">
      <alignment vertical="center" wrapText="1"/>
    </xf>
    <xf numFmtId="4" fontId="20" fillId="0" borderId="12" xfId="0" applyNumberFormat="1" applyFont="1" applyFill="1" applyBorder="1" applyAlignment="1" applyProtection="1">
      <alignment vertical="center"/>
    </xf>
    <xf numFmtId="0" fontId="20" fillId="0" borderId="8" xfId="0" applyNumberFormat="1" applyFont="1" applyFill="1" applyBorder="1" applyAlignment="1" applyProtection="1">
      <alignment horizontal="center" vertical="center"/>
    </xf>
    <xf numFmtId="0" fontId="20" fillId="0" borderId="9" xfId="0" applyNumberFormat="1" applyFont="1" applyFill="1" applyBorder="1" applyAlignment="1" applyProtection="1">
      <alignment vertical="center" wrapText="1"/>
    </xf>
    <xf numFmtId="4" fontId="20" fillId="0" borderId="9" xfId="0" applyNumberFormat="1" applyFont="1" applyFill="1" applyBorder="1" applyAlignment="1" applyProtection="1">
      <alignment vertical="center"/>
    </xf>
    <xf numFmtId="4" fontId="20" fillId="0" borderId="0" xfId="0" applyNumberFormat="1" applyFont="1" applyFill="1" applyBorder="1" applyAlignment="1" applyProtection="1">
      <alignment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horizontal="center" vertical="center"/>
    </xf>
    <xf numFmtId="4" fontId="20" fillId="0" borderId="17" xfId="0" applyNumberFormat="1" applyFont="1" applyFill="1" applyBorder="1" applyAlignment="1" applyProtection="1">
      <alignment vertical="center"/>
    </xf>
    <xf numFmtId="4" fontId="20" fillId="0" borderId="18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0" fillId="0" borderId="0" xfId="0" applyFill="1"/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3" fontId="3" fillId="0" borderId="4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18" fillId="0" borderId="4" xfId="0" applyNumberFormat="1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 applyProtection="1">
      <alignment horizontal="right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vertical="center" wrapText="1"/>
    </xf>
    <xf numFmtId="4" fontId="22" fillId="0" borderId="6" xfId="0" applyNumberFormat="1" applyFont="1" applyFill="1" applyBorder="1" applyAlignment="1" applyProtection="1">
      <alignment vertical="center"/>
    </xf>
    <xf numFmtId="3" fontId="19" fillId="0" borderId="6" xfId="0" applyNumberFormat="1" applyFont="1" applyFill="1" applyBorder="1" applyAlignment="1" applyProtection="1">
      <alignment vertical="center" wrapText="1"/>
    </xf>
    <xf numFmtId="4" fontId="19" fillId="0" borderId="7" xfId="0" applyNumberFormat="1" applyFont="1" applyFill="1" applyBorder="1" applyAlignment="1" applyProtection="1">
      <alignment vertical="center"/>
    </xf>
    <xf numFmtId="3" fontId="19" fillId="0" borderId="9" xfId="0" applyNumberFormat="1" applyFont="1" applyFill="1" applyBorder="1" applyAlignment="1" applyProtection="1">
      <alignment vertical="center" wrapText="1"/>
    </xf>
    <xf numFmtId="3" fontId="19" fillId="0" borderId="6" xfId="0" applyNumberFormat="1" applyFont="1" applyFill="1" applyBorder="1" applyAlignment="1" applyProtection="1">
      <alignment vertical="center"/>
    </xf>
    <xf numFmtId="4" fontId="19" fillId="0" borderId="9" xfId="0" applyNumberFormat="1" applyFont="1" applyFill="1" applyBorder="1" applyAlignment="1" applyProtection="1">
      <alignment vertical="center"/>
    </xf>
    <xf numFmtId="4" fontId="19" fillId="0" borderId="18" xfId="0" applyNumberFormat="1" applyFont="1" applyFill="1" applyBorder="1" applyAlignment="1" applyProtection="1">
      <alignment vertical="center"/>
    </xf>
    <xf numFmtId="3" fontId="6" fillId="0" borderId="6" xfId="0" applyNumberFormat="1" applyFont="1" applyFill="1" applyBorder="1" applyAlignment="1" applyProtection="1">
      <alignment vertical="center" wrapText="1"/>
    </xf>
    <xf numFmtId="4" fontId="6" fillId="0" borderId="7" xfId="0" applyNumberFormat="1" applyFont="1" applyFill="1" applyBorder="1" applyAlignment="1" applyProtection="1">
      <alignment vertical="center"/>
    </xf>
    <xf numFmtId="4" fontId="6" fillId="0" borderId="15" xfId="0" applyNumberFormat="1" applyFont="1" applyFill="1" applyBorder="1" applyAlignment="1" applyProtection="1">
      <alignment vertical="center"/>
    </xf>
    <xf numFmtId="0" fontId="19" fillId="0" borderId="13" xfId="0" applyNumberFormat="1" applyFont="1" applyFill="1" applyBorder="1" applyAlignment="1" applyProtection="1">
      <alignment horizontal="left" vertical="center"/>
    </xf>
    <xf numFmtId="0" fontId="21" fillId="0" borderId="7" xfId="0" applyNumberFormat="1" applyFont="1" applyFill="1" applyBorder="1" applyAlignment="1" applyProtection="1">
      <alignment horizontal="left" vertical="center"/>
    </xf>
    <xf numFmtId="0" fontId="1" fillId="0" borderId="0" xfId="0" applyFont="1" applyFill="1"/>
    <xf numFmtId="0" fontId="0" fillId="0" borderId="0" xfId="0" applyFont="1" applyFill="1"/>
    <xf numFmtId="4" fontId="19" fillId="0" borderId="10" xfId="0" applyNumberFormat="1" applyFont="1" applyFill="1" applyBorder="1" applyAlignment="1" applyProtection="1">
      <alignment vertical="center"/>
    </xf>
    <xf numFmtId="4" fontId="19" fillId="0" borderId="16" xfId="0" applyNumberFormat="1" applyFont="1" applyFill="1" applyBorder="1" applyAlignment="1" applyProtection="1">
      <alignment vertical="center"/>
    </xf>
    <xf numFmtId="4" fontId="22" fillId="0" borderId="16" xfId="0" applyNumberFormat="1" applyFont="1" applyFill="1" applyBorder="1" applyAlignment="1" applyProtection="1">
      <alignment vertical="center"/>
    </xf>
    <xf numFmtId="4" fontId="19" fillId="0" borderId="15" xfId="0" applyNumberFormat="1" applyFont="1" applyFill="1" applyBorder="1" applyAlignment="1" applyProtection="1">
      <alignment vertical="center"/>
    </xf>
    <xf numFmtId="3" fontId="1" fillId="0" borderId="0" xfId="0" applyNumberFormat="1" applyFont="1"/>
    <xf numFmtId="0" fontId="20" fillId="0" borderId="19" xfId="0" applyNumberFormat="1" applyFont="1" applyFill="1" applyBorder="1" applyAlignment="1" applyProtection="1">
      <alignment horizontal="center" vertical="center"/>
    </xf>
    <xf numFmtId="0" fontId="19" fillId="0" borderId="20" xfId="0" applyNumberFormat="1" applyFont="1" applyFill="1" applyBorder="1" applyAlignment="1" applyProtection="1">
      <alignment horizontal="center" vertical="center"/>
    </xf>
    <xf numFmtId="0" fontId="20" fillId="0" borderId="21" xfId="0" applyNumberFormat="1" applyFont="1" applyFill="1" applyBorder="1" applyAlignment="1" applyProtection="1">
      <alignment vertical="center" wrapText="1"/>
    </xf>
    <xf numFmtId="4" fontId="20" fillId="0" borderId="21" xfId="0" applyNumberFormat="1" applyFont="1" applyFill="1" applyBorder="1" applyAlignment="1" applyProtection="1">
      <alignment vertical="center"/>
    </xf>
    <xf numFmtId="4" fontId="20" fillId="0" borderId="22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4" fontId="20" fillId="0" borderId="23" xfId="0" applyNumberFormat="1" applyFont="1" applyFill="1" applyBorder="1" applyAlignment="1" applyProtection="1">
      <alignment vertical="center"/>
    </xf>
    <xf numFmtId="4" fontId="19" fillId="0" borderId="23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4" fontId="20" fillId="0" borderId="14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21" fillId="0" borderId="1" xfId="0" applyNumberFormat="1" applyFont="1" applyFill="1" applyBorder="1" applyAlignment="1" applyProtection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3" fillId="0" borderId="1" xfId="0" applyNumberFormat="1" applyFont="1" applyFill="1" applyBorder="1" applyAlignment="1" applyProtection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 applyProtection="1">
      <alignment horizontal="left" vertical="center" wrapText="1"/>
    </xf>
    <xf numFmtId="49" fontId="22" fillId="0" borderId="2" xfId="0" applyNumberFormat="1" applyFont="1" applyFill="1" applyBorder="1" applyAlignment="1" applyProtection="1">
      <alignment horizontal="left" vertical="center" wrapText="1"/>
    </xf>
    <xf numFmtId="49" fontId="22" fillId="0" borderId="13" xfId="0" applyNumberFormat="1" applyFont="1" applyFill="1" applyBorder="1" applyAlignment="1" applyProtection="1">
      <alignment horizontal="left" vertical="center" wrapText="1"/>
    </xf>
    <xf numFmtId="0" fontId="23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49" fontId="24" fillId="0" borderId="1" xfId="0" applyNumberFormat="1" applyFont="1" applyFill="1" applyBorder="1" applyAlignment="1" applyProtection="1">
      <alignment horizontal="left" vertical="center" wrapText="1"/>
    </xf>
    <xf numFmtId="49" fontId="24" fillId="0" borderId="2" xfId="0" applyNumberFormat="1" applyFont="1" applyFill="1" applyBorder="1" applyAlignment="1" applyProtection="1">
      <alignment horizontal="left" vertical="center" wrapText="1"/>
    </xf>
    <xf numFmtId="49" fontId="24" fillId="0" borderId="13" xfId="0" applyNumberFormat="1" applyFont="1" applyFill="1" applyBorder="1" applyAlignment="1" applyProtection="1">
      <alignment horizontal="left" vertic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3" xfId="0" applyNumberFormat="1" applyFont="1" applyFill="1" applyBorder="1" applyAlignment="1" applyProtection="1">
      <alignment horizontal="left" vertical="center"/>
    </xf>
    <xf numFmtId="49" fontId="23" fillId="0" borderId="1" xfId="0" applyNumberFormat="1" applyFont="1" applyFill="1" applyBorder="1" applyAlignment="1" applyProtection="1">
      <alignment horizontal="left" vertical="center" wrapText="1"/>
    </xf>
    <xf numFmtId="49" fontId="23" fillId="0" borderId="2" xfId="0" applyNumberFormat="1" applyFont="1" applyFill="1" applyBorder="1" applyAlignment="1" applyProtection="1">
      <alignment horizontal="left" vertical="center" wrapText="1"/>
    </xf>
    <xf numFmtId="49" fontId="23" fillId="0" borderId="13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 indent="1"/>
    </xf>
    <xf numFmtId="0" fontId="3" fillId="0" borderId="2" xfId="0" applyNumberFormat="1" applyFont="1" applyFill="1" applyBorder="1" applyAlignment="1" applyProtection="1">
      <alignment horizontal="left" vertical="center" wrapText="1" indent="1"/>
    </xf>
    <xf numFmtId="0" fontId="3" fillId="0" borderId="4" xfId="0" applyNumberFormat="1" applyFont="1" applyFill="1" applyBorder="1" applyAlignment="1" applyProtection="1">
      <alignment horizontal="left" vertical="center" wrapText="1" inden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0" borderId="2" xfId="0" applyNumberFormat="1" applyFont="1" applyFill="1" applyBorder="1" applyAlignment="1" applyProtection="1">
      <alignment horizontal="left" vertical="center" wrapText="1"/>
    </xf>
    <xf numFmtId="0" fontId="18" fillId="0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Alignment="1">
      <alignment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="90" zoomScaleNormal="90" workbookViewId="0">
      <selection activeCell="A12" sqref="A12:E12"/>
    </sheetView>
  </sheetViews>
  <sheetFormatPr defaultRowHeight="15" x14ac:dyDescent="0.25"/>
  <cols>
    <col min="5" max="5" width="25.28515625" customWidth="1"/>
    <col min="6" max="6" width="14.7109375" bestFit="1" customWidth="1"/>
    <col min="7" max="7" width="13" bestFit="1" customWidth="1"/>
    <col min="8" max="9" width="13" customWidth="1"/>
    <col min="10" max="11" width="10.140625" bestFit="1" customWidth="1"/>
    <col min="12" max="12" width="17.28515625" customWidth="1"/>
  </cols>
  <sheetData>
    <row r="1" spans="1:11" ht="42" customHeight="1" x14ac:dyDescent="0.25">
      <c r="A1" s="103" t="s">
        <v>135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8" customHeigh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 x14ac:dyDescent="0.25">
      <c r="A3" s="103" t="s">
        <v>37</v>
      </c>
      <c r="B3" s="103"/>
      <c r="C3" s="103"/>
      <c r="D3" s="103"/>
      <c r="E3" s="103"/>
      <c r="F3" s="103"/>
      <c r="G3" s="103"/>
      <c r="H3" s="103"/>
      <c r="I3" s="103"/>
      <c r="J3" s="104"/>
      <c r="K3" s="104"/>
    </row>
    <row r="4" spans="1:11" ht="17.45" x14ac:dyDescent="0.3">
      <c r="A4" s="28"/>
      <c r="B4" s="28"/>
      <c r="C4" s="28"/>
      <c r="D4" s="28"/>
      <c r="E4" s="28"/>
      <c r="F4" s="28"/>
      <c r="G4" s="28"/>
      <c r="H4" s="28"/>
      <c r="I4" s="28"/>
      <c r="J4" s="5"/>
      <c r="K4" s="5"/>
    </row>
    <row r="5" spans="1:11" ht="18" customHeight="1" x14ac:dyDescent="0.25">
      <c r="A5" s="103" t="s">
        <v>53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7.45" x14ac:dyDescent="0.3">
      <c r="A6" s="1"/>
      <c r="B6" s="2"/>
      <c r="C6" s="2"/>
      <c r="D6" s="2"/>
      <c r="E6" s="6"/>
      <c r="F6" s="7"/>
      <c r="G6" s="7"/>
      <c r="H6" s="7"/>
      <c r="I6" s="7"/>
      <c r="J6" s="7"/>
      <c r="K6" s="42" t="s">
        <v>116</v>
      </c>
    </row>
    <row r="7" spans="1:11" ht="25.5" x14ac:dyDescent="0.25">
      <c r="A7" s="31"/>
      <c r="B7" s="32"/>
      <c r="C7" s="32"/>
      <c r="D7" s="33"/>
      <c r="E7" s="34"/>
      <c r="F7" s="3" t="s">
        <v>121</v>
      </c>
      <c r="G7" s="3" t="s">
        <v>57</v>
      </c>
      <c r="H7" s="3" t="s">
        <v>119</v>
      </c>
      <c r="I7" s="3" t="s">
        <v>120</v>
      </c>
      <c r="J7" s="3" t="s">
        <v>58</v>
      </c>
      <c r="K7" s="3" t="s">
        <v>59</v>
      </c>
    </row>
    <row r="8" spans="1:11" ht="14.45" x14ac:dyDescent="0.3">
      <c r="A8" s="106" t="s">
        <v>0</v>
      </c>
      <c r="B8" s="107"/>
      <c r="C8" s="107"/>
      <c r="D8" s="107"/>
      <c r="E8" s="108"/>
      <c r="F8" s="35">
        <f>SUM(F9:F10)</f>
        <v>768263</v>
      </c>
      <c r="G8" s="35">
        <f t="shared" ref="G8" si="0">SUM(G9:G10)</f>
        <v>993195</v>
      </c>
      <c r="H8" s="35">
        <f>+I8-G8</f>
        <v>94553</v>
      </c>
      <c r="I8" s="35">
        <f t="shared" ref="I8:K8" si="1">SUM(I9:I10)</f>
        <v>1087748</v>
      </c>
      <c r="J8" s="35">
        <f t="shared" si="1"/>
        <v>737225.00099542097</v>
      </c>
      <c r="K8" s="35">
        <f t="shared" si="1"/>
        <v>737225.00099542097</v>
      </c>
    </row>
    <row r="9" spans="1:11" ht="14.45" x14ac:dyDescent="0.3">
      <c r="A9" s="101" t="s">
        <v>1</v>
      </c>
      <c r="B9" s="102"/>
      <c r="C9" s="102"/>
      <c r="D9" s="102"/>
      <c r="E9" s="109"/>
      <c r="F9" s="36">
        <v>757525</v>
      </c>
      <c r="G9" s="36">
        <v>993195</v>
      </c>
      <c r="H9" s="36">
        <f t="shared" ref="H9:H14" si="2">+I9-G9</f>
        <v>94553</v>
      </c>
      <c r="I9" s="36">
        <f>1087721+27</f>
        <v>1087748</v>
      </c>
      <c r="J9" s="36">
        <f>5554621.77/7.5345</f>
        <v>737225.00099542097</v>
      </c>
      <c r="K9" s="36">
        <f>5554621.77/7.5345</f>
        <v>737225.00099542097</v>
      </c>
    </row>
    <row r="10" spans="1:11" ht="14.45" x14ac:dyDescent="0.3">
      <c r="A10" s="110" t="s">
        <v>2</v>
      </c>
      <c r="B10" s="109"/>
      <c r="C10" s="109"/>
      <c r="D10" s="109"/>
      <c r="E10" s="109"/>
      <c r="F10" s="36">
        <v>10738</v>
      </c>
      <c r="G10" s="36">
        <v>0</v>
      </c>
      <c r="H10" s="36">
        <f t="shared" si="2"/>
        <v>0</v>
      </c>
      <c r="I10" s="36">
        <v>0</v>
      </c>
      <c r="J10" s="36">
        <v>0</v>
      </c>
      <c r="K10" s="36">
        <v>0</v>
      </c>
    </row>
    <row r="11" spans="1:11" ht="14.45" x14ac:dyDescent="0.3">
      <c r="A11" s="43" t="s">
        <v>3</v>
      </c>
      <c r="B11" s="44"/>
      <c r="C11" s="44"/>
      <c r="D11" s="44"/>
      <c r="E11" s="44"/>
      <c r="F11" s="35">
        <f>SUM(F12:F13)</f>
        <v>761473</v>
      </c>
      <c r="G11" s="35">
        <f t="shared" ref="G11" si="3">SUM(G12:G13)</f>
        <v>1023093</v>
      </c>
      <c r="H11" s="35">
        <f t="shared" si="2"/>
        <v>94553</v>
      </c>
      <c r="I11" s="35">
        <f t="shared" ref="I11:K11" si="4">SUM(I12:I13)</f>
        <v>1117646</v>
      </c>
      <c r="J11" s="35">
        <f t="shared" si="4"/>
        <v>737225.00099542097</v>
      </c>
      <c r="K11" s="35">
        <f t="shared" si="4"/>
        <v>737225.00099542097</v>
      </c>
    </row>
    <row r="12" spans="1:11" ht="14.45" x14ac:dyDescent="0.3">
      <c r="A12" s="111" t="s">
        <v>4</v>
      </c>
      <c r="B12" s="102"/>
      <c r="C12" s="102"/>
      <c r="D12" s="102"/>
      <c r="E12" s="102"/>
      <c r="F12" s="36">
        <v>757919</v>
      </c>
      <c r="G12" s="36">
        <v>795704</v>
      </c>
      <c r="H12" s="36">
        <f t="shared" si="2"/>
        <v>90907</v>
      </c>
      <c r="I12" s="36">
        <f>886584+27</f>
        <v>886611</v>
      </c>
      <c r="J12" s="36">
        <f>5552361.42/7.5345</f>
        <v>736925.00099542097</v>
      </c>
      <c r="K12" s="36">
        <f>5552361.42/7.5345</f>
        <v>736925.00099542097</v>
      </c>
    </row>
    <row r="13" spans="1:11" ht="14.45" x14ac:dyDescent="0.3">
      <c r="A13" s="112" t="s">
        <v>5</v>
      </c>
      <c r="B13" s="109"/>
      <c r="C13" s="109"/>
      <c r="D13" s="109"/>
      <c r="E13" s="109"/>
      <c r="F13" s="37">
        <v>3554</v>
      </c>
      <c r="G13" s="37">
        <v>227389</v>
      </c>
      <c r="H13" s="37">
        <f t="shared" si="2"/>
        <v>3646</v>
      </c>
      <c r="I13" s="37">
        <v>231035</v>
      </c>
      <c r="J13" s="37">
        <f>2260.35/7.5345</f>
        <v>299.99999999999994</v>
      </c>
      <c r="K13" s="37">
        <f>2260.35/7.5345</f>
        <v>299.99999999999994</v>
      </c>
    </row>
    <row r="14" spans="1:11" x14ac:dyDescent="0.25">
      <c r="A14" s="113" t="s">
        <v>6</v>
      </c>
      <c r="B14" s="107"/>
      <c r="C14" s="107"/>
      <c r="D14" s="107"/>
      <c r="E14" s="107"/>
      <c r="F14" s="35">
        <f>+F8-F11</f>
        <v>6790</v>
      </c>
      <c r="G14" s="35">
        <f t="shared" ref="G14" si="5">+G8-G11</f>
        <v>-29898</v>
      </c>
      <c r="H14" s="35">
        <f t="shared" si="2"/>
        <v>0</v>
      </c>
      <c r="I14" s="35">
        <f t="shared" ref="I14:K14" si="6">+I8-I11</f>
        <v>-29898</v>
      </c>
      <c r="J14" s="35">
        <f t="shared" si="6"/>
        <v>0</v>
      </c>
      <c r="K14" s="35">
        <f t="shared" si="6"/>
        <v>0</v>
      </c>
    </row>
    <row r="15" spans="1:11" ht="17.45" x14ac:dyDescent="0.3">
      <c r="A15" s="28"/>
      <c r="B15" s="26"/>
      <c r="C15" s="26"/>
      <c r="D15" s="26"/>
      <c r="E15" s="26"/>
      <c r="F15" s="26"/>
      <c r="G15" s="27"/>
      <c r="H15" s="27"/>
      <c r="I15" s="27"/>
      <c r="J15" s="27"/>
      <c r="K15" s="27"/>
    </row>
    <row r="16" spans="1:11" ht="18" customHeight="1" x14ac:dyDescent="0.25">
      <c r="A16" s="103" t="s">
        <v>54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ht="17.45" x14ac:dyDescent="0.3">
      <c r="A17" s="28"/>
      <c r="B17" s="26"/>
      <c r="C17" s="26"/>
      <c r="D17" s="26"/>
      <c r="E17" s="26"/>
      <c r="F17" s="26"/>
      <c r="G17" s="27"/>
      <c r="H17" s="27"/>
      <c r="I17" s="27"/>
      <c r="J17" s="27"/>
      <c r="K17" s="27"/>
    </row>
    <row r="18" spans="1:11" ht="25.5" x14ac:dyDescent="0.25">
      <c r="A18" s="31"/>
      <c r="B18" s="32"/>
      <c r="C18" s="32"/>
      <c r="D18" s="33"/>
      <c r="E18" s="34"/>
      <c r="F18" s="3" t="s">
        <v>121</v>
      </c>
      <c r="G18" s="3" t="s">
        <v>57</v>
      </c>
      <c r="H18" s="3" t="s">
        <v>119</v>
      </c>
      <c r="I18" s="3" t="s">
        <v>120</v>
      </c>
      <c r="J18" s="3" t="s">
        <v>58</v>
      </c>
      <c r="K18" s="3" t="s">
        <v>59</v>
      </c>
    </row>
    <row r="19" spans="1:11" ht="15.75" customHeight="1" x14ac:dyDescent="0.25">
      <c r="A19" s="101" t="s">
        <v>8</v>
      </c>
      <c r="B19" s="114"/>
      <c r="C19" s="114"/>
      <c r="D19" s="114"/>
      <c r="E19" s="115"/>
      <c r="F19" s="37"/>
      <c r="G19" s="37"/>
      <c r="H19" s="37"/>
      <c r="I19" s="37"/>
      <c r="J19" s="37"/>
      <c r="K19" s="37"/>
    </row>
    <row r="20" spans="1:11" ht="14.45" x14ac:dyDescent="0.3">
      <c r="A20" s="101" t="s">
        <v>9</v>
      </c>
      <c r="B20" s="102"/>
      <c r="C20" s="102"/>
      <c r="D20" s="102"/>
      <c r="E20" s="102"/>
      <c r="F20" s="37"/>
      <c r="G20" s="37"/>
      <c r="H20" s="37"/>
      <c r="I20" s="37"/>
      <c r="J20" s="37"/>
      <c r="K20" s="37"/>
    </row>
    <row r="21" spans="1:11" ht="14.45" x14ac:dyDescent="0.3">
      <c r="A21" s="113" t="s">
        <v>10</v>
      </c>
      <c r="B21" s="107"/>
      <c r="C21" s="107"/>
      <c r="D21" s="107"/>
      <c r="E21" s="107"/>
      <c r="F21" s="35">
        <v>0</v>
      </c>
      <c r="G21" s="35">
        <v>0</v>
      </c>
      <c r="H21" s="35"/>
      <c r="I21" s="35"/>
      <c r="J21" s="35">
        <v>0</v>
      </c>
      <c r="K21" s="35">
        <v>0</v>
      </c>
    </row>
    <row r="22" spans="1:11" ht="17.45" x14ac:dyDescent="0.3">
      <c r="A22" s="25"/>
      <c r="B22" s="26"/>
      <c r="C22" s="26"/>
      <c r="D22" s="26"/>
      <c r="E22" s="26"/>
      <c r="F22" s="26"/>
      <c r="G22" s="27"/>
      <c r="H22" s="27"/>
      <c r="I22" s="27"/>
      <c r="J22" s="27"/>
      <c r="K22" s="27"/>
    </row>
    <row r="23" spans="1:11" ht="18" customHeight="1" x14ac:dyDescent="0.25">
      <c r="A23" s="103" t="s">
        <v>66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1" ht="17.45" x14ac:dyDescent="0.3">
      <c r="A24" s="25"/>
      <c r="B24" s="26"/>
      <c r="C24" s="26"/>
      <c r="D24" s="26"/>
      <c r="E24" s="26"/>
      <c r="F24" s="26"/>
      <c r="G24" s="27"/>
      <c r="H24" s="27"/>
      <c r="I24" s="27"/>
      <c r="J24" s="27"/>
      <c r="K24" s="27"/>
    </row>
    <row r="25" spans="1:11" ht="25.5" x14ac:dyDescent="0.25">
      <c r="A25" s="31"/>
      <c r="B25" s="32"/>
      <c r="C25" s="32"/>
      <c r="D25" s="33"/>
      <c r="E25" s="34"/>
      <c r="F25" s="3" t="s">
        <v>121</v>
      </c>
      <c r="G25" s="3" t="s">
        <v>57</v>
      </c>
      <c r="H25" s="3" t="s">
        <v>119</v>
      </c>
      <c r="I25" s="3" t="s">
        <v>120</v>
      </c>
      <c r="J25" s="3" t="s">
        <v>58</v>
      </c>
      <c r="K25" s="3" t="s">
        <v>59</v>
      </c>
    </row>
    <row r="26" spans="1:11" x14ac:dyDescent="0.25">
      <c r="A26" s="118" t="s">
        <v>55</v>
      </c>
      <c r="B26" s="119"/>
      <c r="C26" s="119"/>
      <c r="D26" s="119"/>
      <c r="E26" s="120"/>
      <c r="F26" s="39">
        <v>12592</v>
      </c>
      <c r="G26" s="39">
        <v>29898</v>
      </c>
      <c r="H26" s="39"/>
      <c r="I26" s="39">
        <v>29898</v>
      </c>
      <c r="J26" s="39"/>
      <c r="K26" s="40"/>
    </row>
    <row r="27" spans="1:11" ht="30" customHeight="1" x14ac:dyDescent="0.25">
      <c r="A27" s="121" t="s">
        <v>7</v>
      </c>
      <c r="B27" s="122"/>
      <c r="C27" s="122"/>
      <c r="D27" s="122"/>
      <c r="E27" s="123"/>
      <c r="F27" s="41">
        <f>+F26</f>
        <v>12592</v>
      </c>
      <c r="G27" s="41">
        <v>29898</v>
      </c>
      <c r="H27" s="41"/>
      <c r="I27" s="41">
        <v>29898</v>
      </c>
      <c r="J27" s="41"/>
      <c r="K27" s="38"/>
    </row>
    <row r="30" spans="1:11" x14ac:dyDescent="0.25">
      <c r="A30" s="111" t="s">
        <v>11</v>
      </c>
      <c r="B30" s="102"/>
      <c r="C30" s="102"/>
      <c r="D30" s="102"/>
      <c r="E30" s="102"/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</row>
    <row r="31" spans="1:11" ht="11.25" customHeight="1" x14ac:dyDescent="0.3">
      <c r="A31" s="20"/>
      <c r="B31" s="21"/>
      <c r="C31" s="21"/>
      <c r="D31" s="21"/>
      <c r="E31" s="21"/>
      <c r="F31" s="22"/>
      <c r="G31" s="22"/>
      <c r="H31" s="22"/>
      <c r="I31" s="22"/>
      <c r="J31" s="22"/>
      <c r="K31" s="22"/>
    </row>
    <row r="32" spans="1:11" ht="8.25" customHeight="1" x14ac:dyDescent="0.3"/>
    <row r="33" spans="1:11" ht="40.9" customHeight="1" x14ac:dyDescent="0.25">
      <c r="A33" s="116" t="s">
        <v>56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</row>
  </sheetData>
  <mergeCells count="18">
    <mergeCell ref="A33:K33"/>
    <mergeCell ref="A21:E21"/>
    <mergeCell ref="A23:K23"/>
    <mergeCell ref="A26:E26"/>
    <mergeCell ref="A27:E27"/>
    <mergeCell ref="A30:E30"/>
    <mergeCell ref="A20:E20"/>
    <mergeCell ref="A1:K1"/>
    <mergeCell ref="A3:K3"/>
    <mergeCell ref="A5:K5"/>
    <mergeCell ref="A8:E8"/>
    <mergeCell ref="A9:E9"/>
    <mergeCell ref="A10:E10"/>
    <mergeCell ref="A12:E12"/>
    <mergeCell ref="A13:E13"/>
    <mergeCell ref="A14:E14"/>
    <mergeCell ref="A16:K16"/>
    <mergeCell ref="A19:E19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Normal="100" workbookViewId="0">
      <selection activeCell="H12" sqref="H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.7109375" bestFit="1" customWidth="1"/>
    <col min="4" max="4" width="32" customWidth="1"/>
    <col min="5" max="5" width="14" bestFit="1" customWidth="1"/>
    <col min="6" max="6" width="12.42578125" bestFit="1" customWidth="1"/>
    <col min="7" max="8" width="12.42578125" customWidth="1"/>
    <col min="9" max="10" width="9.42578125" bestFit="1" customWidth="1"/>
  </cols>
  <sheetData>
    <row r="1" spans="1:11" ht="42" customHeight="1" x14ac:dyDescent="0.3">
      <c r="A1" s="103" t="str">
        <f>+SAŽETAK!A1</f>
        <v>II. IZMJENE I DOPUNE FINANCIJSKOG PLANA INDUSTRIJSKO-OBRTNIČKE ŠKOLE PULA
ZA 2023. I PROJEKCIJA ZA 2024. I 2025. GODINU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1" ht="7.9" customHeight="1" x14ac:dyDescent="0.3">
      <c r="A2" s="28" t="s">
        <v>127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15.75" x14ac:dyDescent="0.25">
      <c r="A3" s="103" t="s">
        <v>37</v>
      </c>
      <c r="B3" s="103"/>
      <c r="C3" s="103"/>
      <c r="D3" s="103"/>
      <c r="E3" s="103"/>
      <c r="F3" s="103"/>
      <c r="G3" s="103"/>
      <c r="H3" s="103"/>
      <c r="I3" s="104"/>
      <c r="J3" s="104"/>
    </row>
    <row r="4" spans="1:11" ht="7.15" customHeight="1" x14ac:dyDescent="0.3">
      <c r="A4" s="28"/>
      <c r="B4" s="28"/>
      <c r="C4" s="28"/>
      <c r="D4" s="28"/>
      <c r="E4" s="28"/>
      <c r="F4" s="28"/>
      <c r="G4" s="28"/>
      <c r="H4" s="28"/>
      <c r="I4" s="5"/>
      <c r="J4" s="5"/>
    </row>
    <row r="5" spans="1:11" ht="15.75" x14ac:dyDescent="0.25">
      <c r="A5" s="103" t="s">
        <v>15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1" ht="5.45" customHeight="1" x14ac:dyDescent="0.3">
      <c r="A6" s="28"/>
      <c r="B6" s="28"/>
      <c r="C6" s="28"/>
      <c r="D6" s="28"/>
      <c r="E6" s="28"/>
      <c r="F6" s="28"/>
      <c r="G6" s="28"/>
      <c r="H6" s="28"/>
      <c r="I6" s="5"/>
      <c r="J6" s="5"/>
    </row>
    <row r="7" spans="1:11" ht="15.6" x14ac:dyDescent="0.3">
      <c r="A7" s="103" t="s">
        <v>1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1:11" ht="6" customHeight="1" x14ac:dyDescent="0.3">
      <c r="A8" s="28"/>
      <c r="B8" s="28"/>
      <c r="C8" s="28"/>
      <c r="D8" s="28"/>
      <c r="E8" s="28"/>
      <c r="F8" s="28"/>
      <c r="G8" s="28"/>
      <c r="H8" s="28"/>
      <c r="I8" s="5"/>
      <c r="J8" s="5"/>
    </row>
    <row r="9" spans="1:11" ht="38.25" x14ac:dyDescent="0.25">
      <c r="A9" s="24" t="s">
        <v>16</v>
      </c>
      <c r="B9" s="23" t="s">
        <v>17</v>
      </c>
      <c r="C9" s="23" t="s">
        <v>18</v>
      </c>
      <c r="D9" s="23" t="s">
        <v>14</v>
      </c>
      <c r="E9" s="23" t="s">
        <v>121</v>
      </c>
      <c r="F9" s="24" t="s">
        <v>57</v>
      </c>
      <c r="G9" s="24" t="s">
        <v>119</v>
      </c>
      <c r="H9" s="24" t="s">
        <v>120</v>
      </c>
      <c r="I9" s="24" t="s">
        <v>58</v>
      </c>
      <c r="J9" s="24" t="s">
        <v>59</v>
      </c>
    </row>
    <row r="10" spans="1:11" ht="15.75" customHeight="1" x14ac:dyDescent="0.3">
      <c r="A10" s="11">
        <v>6</v>
      </c>
      <c r="B10" s="11"/>
      <c r="C10" s="11"/>
      <c r="D10" s="11" t="s">
        <v>19</v>
      </c>
      <c r="E10" s="8">
        <f>+E11+E18+E20+E16</f>
        <v>757525</v>
      </c>
      <c r="F10" s="8">
        <f>+F11+F18+F20</f>
        <v>993195</v>
      </c>
      <c r="G10" s="8">
        <f t="shared" ref="G10:G27" si="0">+H10-F10</f>
        <v>94553</v>
      </c>
      <c r="H10" s="8">
        <f>+H11+H18+H20</f>
        <v>1087748</v>
      </c>
      <c r="I10" s="8">
        <f>+I11+I18+I20</f>
        <v>737225.00099542097</v>
      </c>
      <c r="J10" s="8">
        <f>+J11+J18+J20</f>
        <v>737225.00099542097</v>
      </c>
    </row>
    <row r="11" spans="1:11" ht="25.5" x14ac:dyDescent="0.25">
      <c r="A11" s="11"/>
      <c r="B11" s="16">
        <v>63</v>
      </c>
      <c r="C11" s="16"/>
      <c r="D11" s="16" t="s">
        <v>61</v>
      </c>
      <c r="E11" s="8">
        <f>SUM(E12:E15)</f>
        <v>667595</v>
      </c>
      <c r="F11" s="9">
        <f>SUM(F12:F15)</f>
        <v>866947</v>
      </c>
      <c r="G11" s="9">
        <f t="shared" si="0"/>
        <v>90815</v>
      </c>
      <c r="H11" s="9">
        <f>SUM(H12:H15)</f>
        <v>957762</v>
      </c>
      <c r="I11" s="9">
        <f>4910354.2/7.5345</f>
        <v>651715.99973455432</v>
      </c>
      <c r="J11" s="9">
        <f>4910354.2/7.5345</f>
        <v>651715.99973455432</v>
      </c>
      <c r="K11" s="93"/>
    </row>
    <row r="12" spans="1:11" ht="25.5" x14ac:dyDescent="0.25">
      <c r="A12" s="12"/>
      <c r="B12" s="12"/>
      <c r="C12" s="13">
        <v>53082</v>
      </c>
      <c r="D12" s="18" t="s">
        <v>122</v>
      </c>
      <c r="E12" s="8">
        <v>627686</v>
      </c>
      <c r="F12" s="9">
        <v>648720</v>
      </c>
      <c r="G12" s="9">
        <f t="shared" si="0"/>
        <v>85407</v>
      </c>
      <c r="H12" s="9">
        <f>734100+27</f>
        <v>734127</v>
      </c>
      <c r="I12" s="9"/>
      <c r="J12" s="9"/>
    </row>
    <row r="13" spans="1:11" ht="14.45" x14ac:dyDescent="0.3">
      <c r="A13" s="12"/>
      <c r="B13" s="12"/>
      <c r="C13" s="13">
        <v>51001</v>
      </c>
      <c r="D13" s="18" t="s">
        <v>98</v>
      </c>
      <c r="E13" s="8"/>
      <c r="F13" s="9">
        <v>179083</v>
      </c>
      <c r="G13" s="9">
        <f t="shared" si="0"/>
        <v>0</v>
      </c>
      <c r="H13" s="9">
        <v>179083</v>
      </c>
      <c r="I13" s="9"/>
      <c r="J13" s="9"/>
    </row>
    <row r="14" spans="1:11" ht="38.25" x14ac:dyDescent="0.25">
      <c r="A14" s="12"/>
      <c r="B14" s="12"/>
      <c r="C14" s="13">
        <v>53102</v>
      </c>
      <c r="D14" s="18" t="s">
        <v>134</v>
      </c>
      <c r="E14" s="8">
        <v>0</v>
      </c>
      <c r="F14" s="9">
        <v>5</v>
      </c>
      <c r="G14" s="9">
        <f t="shared" si="0"/>
        <v>0</v>
      </c>
      <c r="H14" s="9">
        <v>5</v>
      </c>
      <c r="I14" s="9"/>
      <c r="J14" s="9"/>
    </row>
    <row r="15" spans="1:11" x14ac:dyDescent="0.25">
      <c r="A15" s="12"/>
      <c r="B15" s="12"/>
      <c r="C15" s="13">
        <v>58400</v>
      </c>
      <c r="D15" s="18" t="s">
        <v>123</v>
      </c>
      <c r="E15" s="8">
        <v>39909</v>
      </c>
      <c r="F15" s="9">
        <v>39139</v>
      </c>
      <c r="G15" s="9">
        <f t="shared" si="0"/>
        <v>5408</v>
      </c>
      <c r="H15" s="9">
        <v>44547</v>
      </c>
      <c r="I15" s="9"/>
      <c r="J15" s="9"/>
    </row>
    <row r="16" spans="1:11" ht="26.45" x14ac:dyDescent="0.3">
      <c r="A16" s="11"/>
      <c r="B16" s="16">
        <v>65</v>
      </c>
      <c r="C16" s="16"/>
      <c r="D16" s="16" t="s">
        <v>125</v>
      </c>
      <c r="E16" s="8">
        <v>410</v>
      </c>
      <c r="F16" s="9"/>
      <c r="G16" s="9">
        <f t="shared" si="0"/>
        <v>0</v>
      </c>
      <c r="H16" s="9"/>
      <c r="I16" s="9"/>
      <c r="J16" s="9"/>
    </row>
    <row r="17" spans="1:11" x14ac:dyDescent="0.25">
      <c r="A17" s="12"/>
      <c r="B17" s="12"/>
      <c r="C17" s="13">
        <v>32400</v>
      </c>
      <c r="D17" s="13" t="s">
        <v>81</v>
      </c>
      <c r="E17" s="8">
        <v>410</v>
      </c>
      <c r="F17" s="9"/>
      <c r="G17" s="9">
        <f t="shared" si="0"/>
        <v>1059</v>
      </c>
      <c r="H17" s="9">
        <v>1059</v>
      </c>
      <c r="I17" s="9"/>
      <c r="J17" s="9"/>
    </row>
    <row r="18" spans="1:11" ht="38.25" x14ac:dyDescent="0.25">
      <c r="A18" s="11"/>
      <c r="B18" s="16">
        <v>66</v>
      </c>
      <c r="C18" s="16"/>
      <c r="D18" s="16" t="s">
        <v>70</v>
      </c>
      <c r="E18" s="8">
        <v>5474</v>
      </c>
      <c r="F18" s="9">
        <f>+F19</f>
        <v>6501</v>
      </c>
      <c r="G18" s="9">
        <f t="shared" si="0"/>
        <v>6058</v>
      </c>
      <c r="H18" s="9">
        <f>+H19</f>
        <v>12559</v>
      </c>
      <c r="I18" s="9">
        <f>51242.14/7.5345</f>
        <v>6801.0007299754461</v>
      </c>
      <c r="J18" s="9">
        <f>51242.14/7.5345</f>
        <v>6801.0007299754461</v>
      </c>
    </row>
    <row r="19" spans="1:11" x14ac:dyDescent="0.25">
      <c r="A19" s="12"/>
      <c r="B19" s="12"/>
      <c r="C19" s="13">
        <v>32400</v>
      </c>
      <c r="D19" s="13" t="s">
        <v>81</v>
      </c>
      <c r="E19" s="8">
        <v>5474</v>
      </c>
      <c r="F19" s="9">
        <v>6501</v>
      </c>
      <c r="G19" s="9">
        <f t="shared" si="0"/>
        <v>6058</v>
      </c>
      <c r="H19" s="9">
        <v>12559</v>
      </c>
      <c r="I19" s="9">
        <v>6801</v>
      </c>
      <c r="J19" s="9">
        <v>6801</v>
      </c>
    </row>
    <row r="20" spans="1:11" ht="25.5" x14ac:dyDescent="0.25">
      <c r="A20" s="12"/>
      <c r="B20" s="12">
        <v>67</v>
      </c>
      <c r="C20" s="13"/>
      <c r="D20" s="16" t="s">
        <v>62</v>
      </c>
      <c r="E20" s="8">
        <f>SUM(E21:E24)</f>
        <v>84046</v>
      </c>
      <c r="F20" s="9">
        <f>SUM(F21:F24)</f>
        <v>119747</v>
      </c>
      <c r="G20" s="9">
        <f t="shared" si="0"/>
        <v>-2320</v>
      </c>
      <c r="H20" s="9">
        <f>SUM(H21:H24)</f>
        <v>117427</v>
      </c>
      <c r="I20" s="9">
        <f>593025.43/7.5345</f>
        <v>78708.000530891237</v>
      </c>
      <c r="J20" s="9">
        <f>593025.43/7.5345</f>
        <v>78708.000530891237</v>
      </c>
    </row>
    <row r="21" spans="1:11" x14ac:dyDescent="0.25">
      <c r="A21" s="12"/>
      <c r="B21" s="12"/>
      <c r="C21" s="13">
        <v>48007</v>
      </c>
      <c r="D21" s="13" t="s">
        <v>75</v>
      </c>
      <c r="E21" s="8">
        <v>77919</v>
      </c>
      <c r="F21" s="8">
        <v>80131</v>
      </c>
      <c r="G21" s="8">
        <f t="shared" si="0"/>
        <v>5172</v>
      </c>
      <c r="H21" s="8">
        <v>85303</v>
      </c>
      <c r="I21" s="8"/>
      <c r="J21" s="8"/>
      <c r="K21" s="93"/>
    </row>
    <row r="22" spans="1:11" ht="25.5" x14ac:dyDescent="0.25">
      <c r="A22" s="12"/>
      <c r="B22" s="12"/>
      <c r="C22" s="13">
        <v>48008</v>
      </c>
      <c r="D22" s="18" t="s">
        <v>124</v>
      </c>
      <c r="E22" s="8">
        <v>1052</v>
      </c>
      <c r="F22" s="8">
        <v>0</v>
      </c>
      <c r="G22" s="8">
        <f t="shared" si="0"/>
        <v>0</v>
      </c>
      <c r="H22" s="8">
        <v>0</v>
      </c>
      <c r="I22" s="8"/>
      <c r="J22" s="8"/>
    </row>
    <row r="23" spans="1:11" ht="14.45" x14ac:dyDescent="0.3">
      <c r="A23" s="12"/>
      <c r="B23" s="12"/>
      <c r="C23" s="13">
        <v>11001</v>
      </c>
      <c r="D23" s="13" t="s">
        <v>90</v>
      </c>
      <c r="E23" s="8">
        <f>625+1327+531</f>
        <v>2483</v>
      </c>
      <c r="F23" s="8">
        <v>39616</v>
      </c>
      <c r="G23" s="8">
        <f t="shared" si="0"/>
        <v>-7492</v>
      </c>
      <c r="H23" s="8">
        <v>32124</v>
      </c>
      <c r="I23" s="8"/>
      <c r="J23" s="8"/>
    </row>
    <row r="24" spans="1:11" ht="14.45" x14ac:dyDescent="0.3">
      <c r="A24" s="12"/>
      <c r="B24" s="12"/>
      <c r="C24" s="13">
        <v>51100</v>
      </c>
      <c r="D24" s="13" t="s">
        <v>112</v>
      </c>
      <c r="E24" s="8">
        <v>2592</v>
      </c>
      <c r="F24" s="8">
        <v>0</v>
      </c>
      <c r="G24" s="8">
        <f t="shared" si="0"/>
        <v>0</v>
      </c>
      <c r="H24" s="8">
        <v>0</v>
      </c>
      <c r="I24" s="8"/>
      <c r="J24" s="8"/>
    </row>
    <row r="25" spans="1:11" ht="26.45" x14ac:dyDescent="0.3">
      <c r="A25" s="14">
        <v>7</v>
      </c>
      <c r="B25" s="15"/>
      <c r="C25" s="15"/>
      <c r="D25" s="29" t="s">
        <v>21</v>
      </c>
      <c r="E25" s="8">
        <f>+E26</f>
        <v>10738</v>
      </c>
      <c r="F25" s="8">
        <f t="shared" ref="F25:J25" si="1">+F26</f>
        <v>0</v>
      </c>
      <c r="G25" s="8">
        <f t="shared" si="0"/>
        <v>0</v>
      </c>
      <c r="H25" s="8">
        <f t="shared" si="1"/>
        <v>0</v>
      </c>
      <c r="I25" s="8">
        <f t="shared" si="1"/>
        <v>0</v>
      </c>
      <c r="J25" s="8">
        <f t="shared" si="1"/>
        <v>0</v>
      </c>
    </row>
    <row r="26" spans="1:11" ht="26.45" x14ac:dyDescent="0.3">
      <c r="A26" s="16"/>
      <c r="B26" s="16">
        <v>72</v>
      </c>
      <c r="C26" s="16"/>
      <c r="D26" s="30" t="s">
        <v>60</v>
      </c>
      <c r="E26" s="8">
        <f>SUM(E27)</f>
        <v>10738</v>
      </c>
      <c r="F26" s="9">
        <v>0</v>
      </c>
      <c r="G26" s="9">
        <f t="shared" si="0"/>
        <v>0</v>
      </c>
      <c r="H26" s="9">
        <v>0</v>
      </c>
      <c r="I26" s="9">
        <v>0</v>
      </c>
      <c r="J26" s="10">
        <v>0</v>
      </c>
    </row>
    <row r="27" spans="1:11" x14ac:dyDescent="0.25">
      <c r="A27" s="16"/>
      <c r="B27" s="16"/>
      <c r="C27" s="13">
        <v>32400</v>
      </c>
      <c r="D27" s="13" t="s">
        <v>81</v>
      </c>
      <c r="E27" s="8">
        <v>10738</v>
      </c>
      <c r="F27" s="9">
        <v>0</v>
      </c>
      <c r="G27" s="9">
        <f t="shared" si="0"/>
        <v>0</v>
      </c>
      <c r="H27" s="9">
        <v>0</v>
      </c>
      <c r="I27" s="9">
        <v>0</v>
      </c>
      <c r="J27" s="10">
        <v>0</v>
      </c>
    </row>
    <row r="28" spans="1:11" ht="7.15" customHeight="1" x14ac:dyDescent="0.3"/>
    <row r="29" spans="1:11" ht="15.6" x14ac:dyDescent="0.3">
      <c r="A29" s="103" t="s">
        <v>22</v>
      </c>
      <c r="B29" s="124"/>
      <c r="C29" s="124"/>
      <c r="D29" s="124"/>
      <c r="E29" s="124"/>
      <c r="F29" s="124"/>
      <c r="G29" s="124"/>
      <c r="H29" s="124"/>
      <c r="I29" s="124"/>
      <c r="J29" s="124"/>
    </row>
    <row r="30" spans="1:11" ht="6" customHeight="1" x14ac:dyDescent="0.3">
      <c r="A30" s="28"/>
      <c r="B30" s="28"/>
      <c r="C30" s="28"/>
      <c r="D30" s="28"/>
      <c r="E30" s="28"/>
      <c r="F30" s="28"/>
      <c r="G30" s="28"/>
      <c r="H30" s="28"/>
      <c r="I30" s="5"/>
      <c r="J30" s="5"/>
    </row>
    <row r="31" spans="1:11" ht="38.25" x14ac:dyDescent="0.25">
      <c r="A31" s="24" t="s">
        <v>16</v>
      </c>
      <c r="B31" s="23" t="s">
        <v>17</v>
      </c>
      <c r="C31" s="23" t="s">
        <v>18</v>
      </c>
      <c r="D31" s="23" t="s">
        <v>23</v>
      </c>
      <c r="E31" s="23" t="s">
        <v>121</v>
      </c>
      <c r="F31" s="24" t="s">
        <v>57</v>
      </c>
      <c r="G31" s="24" t="s">
        <v>119</v>
      </c>
      <c r="H31" s="24" t="s">
        <v>120</v>
      </c>
      <c r="I31" s="24" t="s">
        <v>58</v>
      </c>
      <c r="J31" s="24" t="s">
        <v>59</v>
      </c>
    </row>
    <row r="32" spans="1:11" ht="15.75" customHeight="1" x14ac:dyDescent="0.25">
      <c r="A32" s="11">
        <v>3</v>
      </c>
      <c r="B32" s="11"/>
      <c r="C32" s="11"/>
      <c r="D32" s="11" t="s">
        <v>24</v>
      </c>
      <c r="E32" s="8">
        <f t="shared" ref="E32:J32" si="2">+E33+E39+E48+E53</f>
        <v>757919</v>
      </c>
      <c r="F32" s="8">
        <f t="shared" si="2"/>
        <v>795704</v>
      </c>
      <c r="G32" s="8">
        <f t="shared" si="2"/>
        <v>90807</v>
      </c>
      <c r="H32" s="8">
        <f t="shared" si="2"/>
        <v>886611</v>
      </c>
      <c r="I32" s="8">
        <f t="shared" si="2"/>
        <v>736925</v>
      </c>
      <c r="J32" s="8">
        <f t="shared" si="2"/>
        <v>736925</v>
      </c>
    </row>
    <row r="33" spans="1:10" ht="15.75" customHeight="1" x14ac:dyDescent="0.25">
      <c r="A33" s="11"/>
      <c r="B33" s="16">
        <v>31</v>
      </c>
      <c r="C33" s="16"/>
      <c r="D33" s="16" t="s">
        <v>25</v>
      </c>
      <c r="E33" s="9">
        <f t="shared" ref="E33:G33" si="3">SUM(E34:E38)</f>
        <v>650661</v>
      </c>
      <c r="F33" s="9">
        <f>SUM(F34:F38)</f>
        <v>679585</v>
      </c>
      <c r="G33" s="9">
        <f t="shared" si="3"/>
        <v>80855</v>
      </c>
      <c r="H33" s="9">
        <f>SUM(H34:H38)</f>
        <v>760440</v>
      </c>
      <c r="I33" s="9">
        <f t="shared" ref="I33" si="4">SUM(I34:I38)</f>
        <v>648720</v>
      </c>
      <c r="J33" s="9">
        <f t="shared" ref="J33" si="5">SUM(J34:J38)</f>
        <v>648720</v>
      </c>
    </row>
    <row r="34" spans="1:10" x14ac:dyDescent="0.25">
      <c r="A34" s="12"/>
      <c r="B34" s="12"/>
      <c r="C34" s="13">
        <v>11001</v>
      </c>
      <c r="D34" s="13" t="s">
        <v>90</v>
      </c>
      <c r="E34" s="8">
        <v>625</v>
      </c>
      <c r="F34" s="9">
        <v>0</v>
      </c>
      <c r="G34" s="9">
        <f t="shared" ref="G34:G59" si="6">+H34-F34</f>
        <v>0</v>
      </c>
      <c r="H34" s="9">
        <v>0</v>
      </c>
      <c r="I34" s="9">
        <v>0</v>
      </c>
      <c r="J34" s="9">
        <v>0</v>
      </c>
    </row>
    <row r="35" spans="1:10" ht="25.5" x14ac:dyDescent="0.25">
      <c r="A35" s="12"/>
      <c r="B35" s="12"/>
      <c r="C35" s="13">
        <v>53082</v>
      </c>
      <c r="D35" s="18" t="s">
        <v>122</v>
      </c>
      <c r="E35" s="8">
        <v>620269</v>
      </c>
      <c r="F35" s="9">
        <v>648720</v>
      </c>
      <c r="G35" s="9">
        <f t="shared" si="6"/>
        <v>82280</v>
      </c>
      <c r="H35" s="9">
        <v>731000</v>
      </c>
      <c r="I35" s="9">
        <v>648720</v>
      </c>
      <c r="J35" s="9">
        <v>648720</v>
      </c>
    </row>
    <row r="36" spans="1:10" x14ac:dyDescent="0.25">
      <c r="A36" s="12"/>
      <c r="B36" s="12"/>
      <c r="C36" s="13">
        <v>51100</v>
      </c>
      <c r="D36" s="13" t="s">
        <v>112</v>
      </c>
      <c r="E36" s="8">
        <v>2518</v>
      </c>
      <c r="F36" s="9">
        <v>0</v>
      </c>
      <c r="G36" s="9">
        <f t="shared" si="6"/>
        <v>0</v>
      </c>
      <c r="H36" s="9">
        <v>0</v>
      </c>
      <c r="I36" s="9"/>
      <c r="J36" s="9"/>
    </row>
    <row r="37" spans="1:10" x14ac:dyDescent="0.25">
      <c r="A37" s="12"/>
      <c r="B37" s="12"/>
      <c r="C37" s="13">
        <v>51001</v>
      </c>
      <c r="D37" s="13" t="s">
        <v>98</v>
      </c>
      <c r="E37" s="8">
        <v>0</v>
      </c>
      <c r="F37" s="9">
        <v>2285</v>
      </c>
      <c r="G37" s="9">
        <f t="shared" si="6"/>
        <v>-2285</v>
      </c>
      <c r="H37" s="9">
        <v>0</v>
      </c>
      <c r="I37" s="9"/>
      <c r="J37" s="9"/>
    </row>
    <row r="38" spans="1:10" x14ac:dyDescent="0.25">
      <c r="A38" s="12"/>
      <c r="B38" s="12"/>
      <c r="C38" s="13">
        <v>58400</v>
      </c>
      <c r="D38" s="18" t="s">
        <v>123</v>
      </c>
      <c r="E38" s="8">
        <v>27249</v>
      </c>
      <c r="F38" s="9">
        <v>28580</v>
      </c>
      <c r="G38" s="9">
        <f t="shared" si="6"/>
        <v>860</v>
      </c>
      <c r="H38" s="9">
        <v>29440</v>
      </c>
      <c r="I38" s="9"/>
      <c r="J38" s="9"/>
    </row>
    <row r="39" spans="1:10" x14ac:dyDescent="0.25">
      <c r="A39" s="12"/>
      <c r="B39" s="12">
        <v>32</v>
      </c>
      <c r="C39" s="13"/>
      <c r="D39" s="12" t="s">
        <v>40</v>
      </c>
      <c r="E39" s="9">
        <f t="shared" ref="E39:J39" si="7">SUM(E40:E47)</f>
        <v>105114</v>
      </c>
      <c r="F39" s="9">
        <f t="shared" si="7"/>
        <v>115615</v>
      </c>
      <c r="G39" s="9">
        <f t="shared" si="7"/>
        <v>10075</v>
      </c>
      <c r="H39" s="9">
        <f t="shared" si="7"/>
        <v>125690</v>
      </c>
      <c r="I39" s="9">
        <f t="shared" si="7"/>
        <v>88055</v>
      </c>
      <c r="J39" s="9">
        <f t="shared" si="7"/>
        <v>88055</v>
      </c>
    </row>
    <row r="40" spans="1:10" x14ac:dyDescent="0.25">
      <c r="A40" s="12"/>
      <c r="B40" s="12"/>
      <c r="C40" s="13">
        <v>11001</v>
      </c>
      <c r="D40" s="13" t="s">
        <v>90</v>
      </c>
      <c r="E40" s="8">
        <v>1327</v>
      </c>
      <c r="F40" s="9">
        <v>9439</v>
      </c>
      <c r="G40" s="9">
        <f t="shared" si="6"/>
        <v>-7492</v>
      </c>
      <c r="H40" s="9">
        <v>1947</v>
      </c>
      <c r="I40" s="9">
        <f t="shared" ref="I40:J40" si="8">40661+36570+2996+1327</f>
        <v>81554</v>
      </c>
      <c r="J40" s="9">
        <f t="shared" si="8"/>
        <v>81554</v>
      </c>
    </row>
    <row r="41" spans="1:10" ht="25.5" x14ac:dyDescent="0.25">
      <c r="A41" s="12"/>
      <c r="B41" s="12"/>
      <c r="C41" s="13">
        <v>53082</v>
      </c>
      <c r="D41" s="18" t="s">
        <v>122</v>
      </c>
      <c r="E41" s="8">
        <v>4181</v>
      </c>
      <c r="F41" s="9">
        <v>27</v>
      </c>
      <c r="G41" s="9">
        <f t="shared" si="6"/>
        <v>3100</v>
      </c>
      <c r="H41" s="9">
        <f>3100+27</f>
        <v>3127</v>
      </c>
      <c r="I41" s="9">
        <v>6501</v>
      </c>
      <c r="J41" s="9">
        <v>6501</v>
      </c>
    </row>
    <row r="42" spans="1:10" x14ac:dyDescent="0.25">
      <c r="A42" s="12"/>
      <c r="B42" s="12"/>
      <c r="C42" s="13">
        <v>51001</v>
      </c>
      <c r="D42" s="13" t="s">
        <v>98</v>
      </c>
      <c r="E42" s="8">
        <v>73</v>
      </c>
      <c r="F42" s="9">
        <v>0</v>
      </c>
      <c r="G42" s="9">
        <f t="shared" ref="G42" si="9">+H42-F42</f>
        <v>2285</v>
      </c>
      <c r="H42" s="9">
        <v>2285</v>
      </c>
      <c r="I42" s="9">
        <v>0</v>
      </c>
      <c r="J42" s="9">
        <v>0</v>
      </c>
    </row>
    <row r="43" spans="1:10" x14ac:dyDescent="0.25">
      <c r="A43" s="12"/>
      <c r="B43" s="12"/>
      <c r="C43" s="13">
        <v>58400</v>
      </c>
      <c r="D43" s="18" t="s">
        <v>123</v>
      </c>
      <c r="E43" s="8">
        <v>13051</v>
      </c>
      <c r="F43" s="9">
        <v>13440</v>
      </c>
      <c r="G43" s="9">
        <f t="shared" si="6"/>
        <v>1098</v>
      </c>
      <c r="H43" s="9">
        <v>14538</v>
      </c>
      <c r="I43" s="9"/>
      <c r="J43" s="9"/>
    </row>
    <row r="44" spans="1:10" x14ac:dyDescent="0.25">
      <c r="A44" s="12"/>
      <c r="B44" s="12"/>
      <c r="C44" s="13">
        <v>48007</v>
      </c>
      <c r="D44" s="13" t="s">
        <v>75</v>
      </c>
      <c r="E44" s="8">
        <v>79153</v>
      </c>
      <c r="F44" s="9">
        <v>79732</v>
      </c>
      <c r="G44" s="9">
        <f t="shared" si="6"/>
        <v>4371</v>
      </c>
      <c r="H44" s="9">
        <v>84103</v>
      </c>
      <c r="I44" s="9"/>
      <c r="J44" s="9"/>
    </row>
    <row r="45" spans="1:10" x14ac:dyDescent="0.25">
      <c r="A45" s="12"/>
      <c r="B45" s="12"/>
      <c r="C45" s="13">
        <v>32400</v>
      </c>
      <c r="D45" s="13" t="s">
        <v>81</v>
      </c>
      <c r="E45" s="8">
        <v>7227</v>
      </c>
      <c r="F45" s="9">
        <v>5837</v>
      </c>
      <c r="G45" s="9">
        <f t="shared" si="6"/>
        <v>9152</v>
      </c>
      <c r="H45" s="9">
        <f>13404+1585</f>
        <v>14989</v>
      </c>
      <c r="I45" s="9"/>
      <c r="J45" s="9"/>
    </row>
    <row r="46" spans="1:10" ht="25.5" x14ac:dyDescent="0.25">
      <c r="A46" s="12"/>
      <c r="B46" s="12"/>
      <c r="C46" s="13">
        <v>53080</v>
      </c>
      <c r="D46" s="18" t="s">
        <v>126</v>
      </c>
      <c r="E46" s="8">
        <v>102</v>
      </c>
      <c r="F46" s="9">
        <v>0</v>
      </c>
      <c r="G46" s="9">
        <f t="shared" si="6"/>
        <v>0</v>
      </c>
      <c r="H46" s="9">
        <v>0</v>
      </c>
      <c r="I46" s="9"/>
      <c r="J46" s="9"/>
    </row>
    <row r="47" spans="1:10" x14ac:dyDescent="0.25">
      <c r="A47" s="12"/>
      <c r="B47" s="12"/>
      <c r="C47" s="13">
        <v>47400</v>
      </c>
      <c r="D47" s="18" t="s">
        <v>82</v>
      </c>
      <c r="E47" s="8">
        <v>0</v>
      </c>
      <c r="F47" s="9">
        <v>7140</v>
      </c>
      <c r="G47" s="9">
        <f t="shared" si="6"/>
        <v>-2439</v>
      </c>
      <c r="H47" s="9">
        <v>4701</v>
      </c>
      <c r="I47" s="9"/>
      <c r="J47" s="9"/>
    </row>
    <row r="48" spans="1:10" x14ac:dyDescent="0.25">
      <c r="A48" s="12"/>
      <c r="B48" s="12">
        <v>34</v>
      </c>
      <c r="C48" s="13"/>
      <c r="D48" s="12" t="s">
        <v>71</v>
      </c>
      <c r="E48" s="9">
        <f t="shared" ref="E48:G48" si="10">SUM(E49:E52)</f>
        <v>2144</v>
      </c>
      <c r="F48" s="9">
        <f>SUM(F49:F52)</f>
        <v>500</v>
      </c>
      <c r="G48" s="9">
        <f t="shared" si="10"/>
        <v>-123</v>
      </c>
      <c r="H48" s="9">
        <f>SUM(H49:H52)</f>
        <v>477</v>
      </c>
      <c r="I48" s="9">
        <f t="shared" ref="I48:J48" si="11">SUM(I49:I52)</f>
        <v>150</v>
      </c>
      <c r="J48" s="9">
        <f t="shared" si="11"/>
        <v>150</v>
      </c>
    </row>
    <row r="49" spans="1:10" ht="25.5" x14ac:dyDescent="0.25">
      <c r="A49" s="12"/>
      <c r="B49" s="12"/>
      <c r="C49" s="13">
        <v>53082</v>
      </c>
      <c r="D49" s="18" t="s">
        <v>122</v>
      </c>
      <c r="E49" s="8">
        <v>1499</v>
      </c>
      <c r="F49" s="9"/>
      <c r="G49" s="9">
        <f t="shared" si="6"/>
        <v>0</v>
      </c>
      <c r="H49" s="9"/>
      <c r="I49" s="9">
        <v>150</v>
      </c>
      <c r="J49" s="9">
        <v>150</v>
      </c>
    </row>
    <row r="50" spans="1:10" x14ac:dyDescent="0.25">
      <c r="A50" s="12"/>
      <c r="B50" s="12"/>
      <c r="C50" s="13">
        <v>58400</v>
      </c>
      <c r="D50" s="18" t="s">
        <v>123</v>
      </c>
      <c r="E50" s="8">
        <v>158</v>
      </c>
      <c r="F50" s="9">
        <v>100</v>
      </c>
      <c r="G50" s="9">
        <f t="shared" si="6"/>
        <v>-23</v>
      </c>
      <c r="H50" s="9">
        <v>77</v>
      </c>
      <c r="I50" s="9">
        <v>0</v>
      </c>
      <c r="J50" s="9">
        <v>0</v>
      </c>
    </row>
    <row r="51" spans="1:10" x14ac:dyDescent="0.25">
      <c r="A51" s="12"/>
      <c r="B51" s="12"/>
      <c r="C51" s="13">
        <v>48007</v>
      </c>
      <c r="D51" s="13" t="s">
        <v>75</v>
      </c>
      <c r="E51" s="8">
        <v>374</v>
      </c>
      <c r="F51" s="8">
        <v>400</v>
      </c>
      <c r="G51" s="8">
        <f t="shared" si="6"/>
        <v>-100</v>
      </c>
      <c r="H51" s="8">
        <v>300</v>
      </c>
      <c r="I51" s="8"/>
      <c r="J51" s="8"/>
    </row>
    <row r="52" spans="1:10" x14ac:dyDescent="0.25">
      <c r="A52" s="12"/>
      <c r="B52" s="12"/>
      <c r="C52" s="13">
        <v>32400</v>
      </c>
      <c r="D52" s="13" t="s">
        <v>81</v>
      </c>
      <c r="E52" s="8">
        <v>113</v>
      </c>
      <c r="F52" s="8"/>
      <c r="G52" s="8"/>
      <c r="H52" s="8">
        <v>100</v>
      </c>
      <c r="I52" s="8"/>
      <c r="J52" s="8"/>
    </row>
    <row r="53" spans="1:10" x14ac:dyDescent="0.25">
      <c r="A53" s="12"/>
      <c r="B53" s="12">
        <v>38</v>
      </c>
      <c r="C53" s="13"/>
      <c r="D53" s="12" t="s">
        <v>71</v>
      </c>
      <c r="E53" s="8">
        <f>+E54</f>
        <v>0</v>
      </c>
      <c r="F53" s="8">
        <f t="shared" ref="F53:J53" si="12">+F54</f>
        <v>4</v>
      </c>
      <c r="G53" s="8">
        <f t="shared" si="12"/>
        <v>0</v>
      </c>
      <c r="H53" s="8">
        <f t="shared" si="12"/>
        <v>4</v>
      </c>
      <c r="I53" s="8">
        <f t="shared" si="12"/>
        <v>0</v>
      </c>
      <c r="J53" s="8">
        <f t="shared" si="12"/>
        <v>0</v>
      </c>
    </row>
    <row r="54" spans="1:10" ht="38.25" x14ac:dyDescent="0.25">
      <c r="A54" s="12"/>
      <c r="B54" s="12"/>
      <c r="C54" s="13">
        <v>53102</v>
      </c>
      <c r="D54" s="18" t="s">
        <v>134</v>
      </c>
      <c r="E54" s="8">
        <v>0</v>
      </c>
      <c r="F54" s="9">
        <v>4</v>
      </c>
      <c r="G54" s="9">
        <f t="shared" si="6"/>
        <v>0</v>
      </c>
      <c r="H54" s="9">
        <v>4</v>
      </c>
      <c r="I54" s="9"/>
      <c r="J54" s="9"/>
    </row>
    <row r="55" spans="1:10" ht="25.5" x14ac:dyDescent="0.25">
      <c r="A55" s="14">
        <v>4</v>
      </c>
      <c r="B55" s="15"/>
      <c r="C55" s="15"/>
      <c r="D55" s="29" t="s">
        <v>26</v>
      </c>
      <c r="E55" s="8">
        <f t="shared" ref="E55:G55" si="13">+E56</f>
        <v>3554</v>
      </c>
      <c r="F55" s="8">
        <f>+F56</f>
        <v>227389</v>
      </c>
      <c r="G55" s="8">
        <f t="shared" si="13"/>
        <v>3646</v>
      </c>
      <c r="H55" s="8">
        <f>+H56</f>
        <v>231035</v>
      </c>
      <c r="I55" s="8">
        <f t="shared" ref="I55" si="14">+I56</f>
        <v>300</v>
      </c>
      <c r="J55" s="8">
        <f t="shared" ref="J55" si="15">+J56</f>
        <v>300</v>
      </c>
    </row>
    <row r="56" spans="1:10" ht="25.5" x14ac:dyDescent="0.25">
      <c r="A56" s="16"/>
      <c r="B56" s="16">
        <v>42</v>
      </c>
      <c r="C56" s="16"/>
      <c r="D56" s="30" t="s">
        <v>65</v>
      </c>
      <c r="E56" s="9">
        <f t="shared" ref="E56:G56" si="16">SUM(E57:E63)</f>
        <v>3554</v>
      </c>
      <c r="F56" s="9">
        <f>SUM(F57:F63)</f>
        <v>227389</v>
      </c>
      <c r="G56" s="9">
        <f t="shared" si="16"/>
        <v>3646</v>
      </c>
      <c r="H56" s="9">
        <f>SUM(H57:H63)</f>
        <v>231035</v>
      </c>
      <c r="I56" s="9">
        <f t="shared" ref="I56:J56" si="17">SUM(I57:I63)</f>
        <v>300</v>
      </c>
      <c r="J56" s="9">
        <f t="shared" si="17"/>
        <v>300</v>
      </c>
    </row>
    <row r="57" spans="1:10" x14ac:dyDescent="0.25">
      <c r="A57" s="16"/>
      <c r="B57" s="16"/>
      <c r="C57" s="13">
        <v>11001</v>
      </c>
      <c r="D57" s="13" t="s">
        <v>90</v>
      </c>
      <c r="E57" s="8">
        <v>531</v>
      </c>
      <c r="F57" s="9">
        <v>30177</v>
      </c>
      <c r="G57" s="9">
        <f t="shared" si="6"/>
        <v>0</v>
      </c>
      <c r="H57" s="9">
        <v>30177</v>
      </c>
      <c r="I57" s="9">
        <v>0</v>
      </c>
      <c r="J57" s="10">
        <v>0</v>
      </c>
    </row>
    <row r="58" spans="1:10" ht="25.5" x14ac:dyDescent="0.25">
      <c r="A58" s="12"/>
      <c r="B58" s="12"/>
      <c r="C58" s="13">
        <v>53082</v>
      </c>
      <c r="D58" s="18" t="s">
        <v>122</v>
      </c>
      <c r="E58" s="8">
        <v>431</v>
      </c>
      <c r="F58" s="9"/>
      <c r="G58" s="9">
        <f t="shared" si="6"/>
        <v>0</v>
      </c>
      <c r="H58" s="9"/>
      <c r="I58" s="9">
        <v>300</v>
      </c>
      <c r="J58" s="9">
        <v>300</v>
      </c>
    </row>
    <row r="59" spans="1:10" x14ac:dyDescent="0.25">
      <c r="A59" s="12"/>
      <c r="B59" s="12"/>
      <c r="C59" s="13">
        <v>32400</v>
      </c>
      <c r="D59" s="13" t="s">
        <v>81</v>
      </c>
      <c r="E59" s="8">
        <v>1540</v>
      </c>
      <c r="F59" s="9">
        <v>15288</v>
      </c>
      <c r="G59" s="9">
        <f t="shared" si="6"/>
        <v>-1485</v>
      </c>
      <c r="H59" s="9">
        <v>13803</v>
      </c>
      <c r="I59" s="9">
        <v>0</v>
      </c>
      <c r="J59" s="9">
        <v>0</v>
      </c>
    </row>
    <row r="60" spans="1:10" ht="25.5" x14ac:dyDescent="0.25">
      <c r="A60" s="12"/>
      <c r="B60" s="12"/>
      <c r="C60" s="13">
        <v>48008</v>
      </c>
      <c r="D60" s="18" t="s">
        <v>124</v>
      </c>
      <c r="E60" s="8">
        <v>1052</v>
      </c>
      <c r="F60" s="9"/>
      <c r="G60" s="9"/>
      <c r="H60" s="9"/>
      <c r="I60" s="9"/>
      <c r="J60" s="9"/>
    </row>
    <row r="61" spans="1:10" x14ac:dyDescent="0.25">
      <c r="A61" s="12"/>
      <c r="B61" s="12"/>
      <c r="C61" s="13">
        <v>51001</v>
      </c>
      <c r="D61" s="13" t="s">
        <v>98</v>
      </c>
      <c r="E61" s="8">
        <v>0</v>
      </c>
      <c r="F61" s="9">
        <v>176798</v>
      </c>
      <c r="G61" s="9">
        <f t="shared" ref="G61:G62" si="18">+H61-F61</f>
        <v>0</v>
      </c>
      <c r="H61" s="9">
        <v>176798</v>
      </c>
      <c r="I61" s="9">
        <v>0</v>
      </c>
      <c r="J61" s="9">
        <v>0</v>
      </c>
    </row>
    <row r="62" spans="1:10" x14ac:dyDescent="0.25">
      <c r="A62" s="12"/>
      <c r="B62" s="12"/>
      <c r="C62" s="13">
        <v>47400</v>
      </c>
      <c r="D62" s="18" t="s">
        <v>82</v>
      </c>
      <c r="E62" s="8">
        <v>0</v>
      </c>
      <c r="F62" s="9">
        <v>100</v>
      </c>
      <c r="G62" s="9">
        <f t="shared" si="18"/>
        <v>3497</v>
      </c>
      <c r="H62" s="9">
        <v>3597</v>
      </c>
      <c r="I62" s="9"/>
      <c r="J62" s="9"/>
    </row>
    <row r="63" spans="1:10" x14ac:dyDescent="0.25">
      <c r="A63" s="12"/>
      <c r="B63" s="12"/>
      <c r="C63" s="13">
        <v>58400</v>
      </c>
      <c r="D63" s="18" t="s">
        <v>123</v>
      </c>
      <c r="E63" s="8">
        <v>0</v>
      </c>
      <c r="F63" s="9">
        <v>5026</v>
      </c>
      <c r="G63" s="9">
        <f t="shared" ref="G63" si="19">+H63-F63</f>
        <v>1634</v>
      </c>
      <c r="H63" s="9">
        <v>6660</v>
      </c>
      <c r="I63" s="9">
        <v>0</v>
      </c>
      <c r="J63" s="9">
        <v>0</v>
      </c>
    </row>
  </sheetData>
  <mergeCells count="5">
    <mergeCell ref="A1:J1"/>
    <mergeCell ref="A3:J3"/>
    <mergeCell ref="A5:J5"/>
    <mergeCell ref="A7:J7"/>
    <mergeCell ref="A29:J29"/>
  </mergeCells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B1" workbookViewId="0">
      <selection activeCell="E10" sqref="E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03" t="s">
        <v>64</v>
      </c>
      <c r="B1" s="103"/>
      <c r="C1" s="103"/>
      <c r="D1" s="103"/>
      <c r="E1" s="103"/>
      <c r="F1" s="103"/>
      <c r="G1" s="103"/>
      <c r="H1" s="103"/>
      <c r="I1" s="103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103" t="s">
        <v>37</v>
      </c>
      <c r="B3" s="103"/>
      <c r="C3" s="103"/>
      <c r="D3" s="103"/>
      <c r="E3" s="103"/>
      <c r="F3" s="103"/>
      <c r="G3" s="103"/>
      <c r="H3" s="104"/>
      <c r="I3" s="104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103" t="s">
        <v>15</v>
      </c>
      <c r="B5" s="105"/>
      <c r="C5" s="105"/>
      <c r="D5" s="105"/>
      <c r="E5" s="105"/>
      <c r="F5" s="105"/>
      <c r="G5" s="105"/>
      <c r="H5" s="105"/>
      <c r="I5" s="105"/>
    </row>
    <row r="6" spans="1:9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ht="15.75" x14ac:dyDescent="0.25">
      <c r="A7" s="103" t="s">
        <v>1</v>
      </c>
      <c r="B7" s="124"/>
      <c r="C7" s="124"/>
      <c r="D7" s="124"/>
      <c r="E7" s="124"/>
      <c r="F7" s="124"/>
      <c r="G7" s="124"/>
      <c r="H7" s="124"/>
      <c r="I7" s="124"/>
    </row>
    <row r="8" spans="1:9" ht="18" x14ac:dyDescent="0.25">
      <c r="A8" s="4"/>
      <c r="B8" s="4"/>
      <c r="C8" s="4"/>
      <c r="D8" s="4"/>
      <c r="E8" s="4"/>
      <c r="F8" s="4"/>
      <c r="G8" s="4"/>
      <c r="H8" s="5"/>
      <c r="I8" s="5"/>
    </row>
    <row r="9" spans="1:9" ht="25.5" x14ac:dyDescent="0.25">
      <c r="A9" s="24" t="s">
        <v>16</v>
      </c>
      <c r="B9" s="23" t="s">
        <v>17</v>
      </c>
      <c r="C9" s="23" t="s">
        <v>18</v>
      </c>
      <c r="D9" s="23" t="s">
        <v>14</v>
      </c>
      <c r="E9" s="23" t="s">
        <v>12</v>
      </c>
      <c r="F9" s="24" t="s">
        <v>13</v>
      </c>
      <c r="G9" s="24" t="s">
        <v>57</v>
      </c>
      <c r="H9" s="24" t="s">
        <v>58</v>
      </c>
      <c r="I9" s="24" t="s">
        <v>59</v>
      </c>
    </row>
    <row r="10" spans="1:9" ht="15.75" customHeight="1" x14ac:dyDescent="0.25">
      <c r="A10" s="11">
        <v>6</v>
      </c>
      <c r="B10" s="11"/>
      <c r="C10" s="11"/>
      <c r="D10" s="11" t="s">
        <v>19</v>
      </c>
      <c r="E10" s="8">
        <f>+E11+E13+E15</f>
        <v>5634736.54</v>
      </c>
      <c r="F10" s="8">
        <f t="shared" ref="F10:I10" si="0">+F11+F13+F15</f>
        <v>6811657</v>
      </c>
      <c r="G10" s="8">
        <f t="shared" si="0"/>
        <v>6838814.6799999997</v>
      </c>
      <c r="H10" s="8">
        <f t="shared" si="0"/>
        <v>5554621.7699999996</v>
      </c>
      <c r="I10" s="8">
        <f t="shared" si="0"/>
        <v>5554621.7699999996</v>
      </c>
    </row>
    <row r="11" spans="1:9" ht="38.25" x14ac:dyDescent="0.25">
      <c r="A11" s="11"/>
      <c r="B11" s="16">
        <v>63</v>
      </c>
      <c r="C11" s="16"/>
      <c r="D11" s="16" t="s">
        <v>61</v>
      </c>
      <c r="E11" s="8">
        <f>5036205.54</f>
        <v>5036205.54</v>
      </c>
      <c r="F11" s="9">
        <f>5024353</f>
        <v>5024353</v>
      </c>
      <c r="G11" s="9">
        <f>6196807.46</f>
        <v>6196807.46</v>
      </c>
      <c r="H11" s="9">
        <f>4910354.2</f>
        <v>4910354.2</v>
      </c>
      <c r="I11" s="9">
        <f>4910354.2</f>
        <v>4910354.2</v>
      </c>
    </row>
    <row r="12" spans="1:9" x14ac:dyDescent="0.25">
      <c r="A12" s="12"/>
      <c r="B12" s="12"/>
      <c r="C12" s="13">
        <v>52</v>
      </c>
      <c r="D12" s="13" t="s">
        <v>63</v>
      </c>
      <c r="E12" s="8"/>
      <c r="F12" s="9"/>
      <c r="G12" s="9"/>
      <c r="H12" s="9"/>
      <c r="I12" s="9"/>
    </row>
    <row r="13" spans="1:9" ht="38.25" x14ac:dyDescent="0.25">
      <c r="A13" s="11"/>
      <c r="B13" s="16">
        <v>66</v>
      </c>
      <c r="C13" s="16"/>
      <c r="D13" s="16" t="s">
        <v>70</v>
      </c>
      <c r="E13" s="8">
        <f>57656</f>
        <v>57656</v>
      </c>
      <c r="F13" s="9">
        <f>65000</f>
        <v>65000</v>
      </c>
      <c r="G13" s="9">
        <f>48981.79</f>
        <v>48981.79</v>
      </c>
      <c r="H13" s="9">
        <f>51242.14</f>
        <v>51242.14</v>
      </c>
      <c r="I13" s="9">
        <f>51242.14</f>
        <v>51242.14</v>
      </c>
    </row>
    <row r="14" spans="1:9" ht="14.45" x14ac:dyDescent="0.3">
      <c r="A14" s="12"/>
      <c r="B14" s="12"/>
      <c r="C14" s="13">
        <v>31</v>
      </c>
      <c r="D14" s="13" t="s">
        <v>44</v>
      </c>
      <c r="E14" s="8"/>
      <c r="F14" s="9"/>
      <c r="G14" s="9"/>
      <c r="H14" s="9"/>
      <c r="I14" s="9"/>
    </row>
    <row r="15" spans="1:9" ht="38.25" x14ac:dyDescent="0.25">
      <c r="A15" s="12"/>
      <c r="B15" s="12">
        <v>67</v>
      </c>
      <c r="C15" s="13"/>
      <c r="D15" s="16" t="s">
        <v>62</v>
      </c>
      <c r="E15" s="8">
        <f>540875</f>
        <v>540875</v>
      </c>
      <c r="F15" s="9">
        <f>1722304</f>
        <v>1722304</v>
      </c>
      <c r="G15" s="9">
        <f>593025.43</f>
        <v>593025.43000000005</v>
      </c>
      <c r="H15" s="9">
        <f>593025.43</f>
        <v>593025.43000000005</v>
      </c>
      <c r="I15" s="9">
        <f>593025.43</f>
        <v>593025.43000000005</v>
      </c>
    </row>
    <row r="16" spans="1:9" x14ac:dyDescent="0.25">
      <c r="A16" s="12"/>
      <c r="B16" s="12"/>
      <c r="C16" s="13">
        <v>11</v>
      </c>
      <c r="D16" s="13" t="s">
        <v>20</v>
      </c>
      <c r="E16" s="8"/>
      <c r="F16" s="9"/>
      <c r="G16" s="9"/>
      <c r="H16" s="9"/>
      <c r="I16" s="9"/>
    </row>
    <row r="17" spans="1:9" ht="26.45" x14ac:dyDescent="0.3">
      <c r="A17" s="14">
        <v>7</v>
      </c>
      <c r="B17" s="15"/>
      <c r="C17" s="15"/>
      <c r="D17" s="29" t="s">
        <v>21</v>
      </c>
      <c r="E17" s="8">
        <f>+E18</f>
        <v>0</v>
      </c>
      <c r="F17" s="8">
        <f t="shared" ref="F17:I17" si="1">+F18</f>
        <v>80500</v>
      </c>
      <c r="G17" s="8">
        <f t="shared" si="1"/>
        <v>0</v>
      </c>
      <c r="H17" s="8">
        <f t="shared" si="1"/>
        <v>0</v>
      </c>
      <c r="I17" s="8">
        <f t="shared" si="1"/>
        <v>0</v>
      </c>
    </row>
    <row r="18" spans="1:9" ht="39.6" x14ac:dyDescent="0.3">
      <c r="A18" s="16"/>
      <c r="B18" s="16">
        <v>72</v>
      </c>
      <c r="C18" s="16"/>
      <c r="D18" s="30" t="s">
        <v>60</v>
      </c>
      <c r="E18" s="8">
        <v>0</v>
      </c>
      <c r="F18" s="9">
        <f>80500</f>
        <v>80500</v>
      </c>
      <c r="G18" s="9">
        <v>0</v>
      </c>
      <c r="H18" s="9">
        <v>0</v>
      </c>
      <c r="I18" s="10">
        <v>0</v>
      </c>
    </row>
    <row r="19" spans="1:9" x14ac:dyDescent="0.25">
      <c r="A19" s="16"/>
      <c r="B19" s="16"/>
      <c r="C19" s="13">
        <v>11</v>
      </c>
      <c r="D19" s="13" t="s">
        <v>20</v>
      </c>
      <c r="E19" s="8"/>
      <c r="F19" s="9"/>
      <c r="G19" s="9"/>
      <c r="H19" s="9"/>
      <c r="I19" s="10"/>
    </row>
    <row r="20" spans="1:9" ht="14.45" x14ac:dyDescent="0.3">
      <c r="E20" s="86">
        <f>+E10+E17</f>
        <v>5634736.54</v>
      </c>
      <c r="F20" s="86">
        <f t="shared" ref="F20:I20" si="2">+F10+F17</f>
        <v>6892157</v>
      </c>
      <c r="G20" s="86">
        <f t="shared" si="2"/>
        <v>6838814.6799999997</v>
      </c>
      <c r="H20" s="86">
        <f t="shared" si="2"/>
        <v>5554621.7699999996</v>
      </c>
      <c r="I20" s="86">
        <f t="shared" si="2"/>
        <v>5554621.7699999996</v>
      </c>
    </row>
    <row r="21" spans="1:9" ht="15.6" x14ac:dyDescent="0.3">
      <c r="A21" s="103" t="s">
        <v>22</v>
      </c>
      <c r="B21" s="124"/>
      <c r="C21" s="124"/>
      <c r="D21" s="124"/>
      <c r="E21" s="124"/>
      <c r="F21" s="124"/>
      <c r="G21" s="124"/>
      <c r="H21" s="124"/>
      <c r="I21" s="124"/>
    </row>
    <row r="22" spans="1:9" ht="17.45" x14ac:dyDescent="0.3">
      <c r="A22" s="4"/>
      <c r="B22" s="4"/>
      <c r="C22" s="4"/>
      <c r="D22" s="4"/>
      <c r="E22" s="4"/>
      <c r="F22" s="4"/>
      <c r="G22" s="4"/>
      <c r="H22" s="5"/>
      <c r="I22" s="5"/>
    </row>
    <row r="23" spans="1:9" ht="25.5" x14ac:dyDescent="0.25">
      <c r="A23" s="24" t="s">
        <v>16</v>
      </c>
      <c r="B23" s="23" t="s">
        <v>17</v>
      </c>
      <c r="C23" s="23" t="s">
        <v>18</v>
      </c>
      <c r="D23" s="23" t="s">
        <v>23</v>
      </c>
      <c r="E23" s="23" t="s">
        <v>12</v>
      </c>
      <c r="F23" s="24" t="s">
        <v>13</v>
      </c>
      <c r="G23" s="24" t="s">
        <v>57</v>
      </c>
      <c r="H23" s="24" t="s">
        <v>58</v>
      </c>
      <c r="I23" s="24" t="s">
        <v>59</v>
      </c>
    </row>
    <row r="24" spans="1:9" ht="15.75" customHeight="1" x14ac:dyDescent="0.3">
      <c r="A24" s="11">
        <v>3</v>
      </c>
      <c r="B24" s="11"/>
      <c r="C24" s="11"/>
      <c r="D24" s="11" t="s">
        <v>24</v>
      </c>
      <c r="E24" s="8">
        <f>+E25+E27+E29</f>
        <v>5558630.9700000007</v>
      </c>
      <c r="F24" s="8">
        <f t="shared" ref="F24:I24" si="3">+F25+F27+F29</f>
        <v>5738980</v>
      </c>
      <c r="G24" s="8">
        <f t="shared" si="3"/>
        <v>5836729.1399999997</v>
      </c>
      <c r="H24" s="8">
        <f t="shared" si="3"/>
        <v>5552361.4199999999</v>
      </c>
      <c r="I24" s="8">
        <f t="shared" si="3"/>
        <v>5552361.4199999999</v>
      </c>
    </row>
    <row r="25" spans="1:9" ht="15.75" customHeight="1" x14ac:dyDescent="0.3">
      <c r="A25" s="11"/>
      <c r="B25" s="16">
        <v>31</v>
      </c>
      <c r="C25" s="16"/>
      <c r="D25" s="16" t="s">
        <v>25</v>
      </c>
      <c r="E25" s="8">
        <f>4823676.36</f>
        <v>4823676.3600000003</v>
      </c>
      <c r="F25" s="9">
        <f>(4637330+229100+4678+18901)</f>
        <v>4890009</v>
      </c>
      <c r="G25" s="9">
        <f>+(4887780.84+215336.01)</f>
        <v>5103116.8499999996</v>
      </c>
      <c r="H25" s="9">
        <f>+(4887780.84)</f>
        <v>4887780.84</v>
      </c>
      <c r="I25" s="9">
        <f>+(4887780.84)</f>
        <v>4887780.84</v>
      </c>
    </row>
    <row r="26" spans="1:9" x14ac:dyDescent="0.25">
      <c r="A26" s="12"/>
      <c r="B26" s="12"/>
      <c r="C26" s="13">
        <v>11</v>
      </c>
      <c r="D26" s="13" t="s">
        <v>20</v>
      </c>
      <c r="E26" s="8"/>
      <c r="F26" s="9"/>
      <c r="G26" s="9"/>
      <c r="H26" s="9"/>
      <c r="I26" s="9"/>
    </row>
    <row r="27" spans="1:9" x14ac:dyDescent="0.25">
      <c r="A27" s="12"/>
      <c r="B27" s="12">
        <v>32</v>
      </c>
      <c r="C27" s="13"/>
      <c r="D27" s="12" t="s">
        <v>40</v>
      </c>
      <c r="E27" s="8">
        <f>689847.79</f>
        <v>689847.79</v>
      </c>
      <c r="F27" s="9">
        <f>+(304489+275539+65000+29380+22570+766+51000+73845+10000+155+627)</f>
        <v>833371</v>
      </c>
      <c r="G27" s="9">
        <f>+(306360.3+275536.67+48984.79+22573.36+3013.8+65261.46+9998.28)</f>
        <v>731728.66</v>
      </c>
      <c r="H27" s="9">
        <f>+(306360.3+275536.67+48981.79+22573.36+9998.28)</f>
        <v>663450.4</v>
      </c>
      <c r="I27" s="9">
        <f>+(306360.3+275536.67+48981.79+22573.36+9998.28)</f>
        <v>663450.4</v>
      </c>
    </row>
    <row r="28" spans="1:9" x14ac:dyDescent="0.25">
      <c r="A28" s="12"/>
      <c r="B28" s="12"/>
      <c r="C28" s="13">
        <v>11</v>
      </c>
      <c r="D28" s="13" t="s">
        <v>20</v>
      </c>
      <c r="E28" s="8"/>
      <c r="F28" s="9"/>
      <c r="G28" s="9"/>
      <c r="H28" s="9"/>
      <c r="I28" s="9"/>
    </row>
    <row r="29" spans="1:9" x14ac:dyDescent="0.25">
      <c r="A29" s="12"/>
      <c r="B29" s="12">
        <v>34</v>
      </c>
      <c r="C29" s="13"/>
      <c r="D29" s="12" t="s">
        <v>71</v>
      </c>
      <c r="E29" s="8">
        <f>45106.82</f>
        <v>45106.82</v>
      </c>
      <c r="F29" s="9">
        <f>+(3000+11800+800)</f>
        <v>15600</v>
      </c>
      <c r="G29" s="9">
        <f>+(1130.18+753.45)</f>
        <v>1883.63</v>
      </c>
      <c r="H29" s="9">
        <f>+(1130.18)</f>
        <v>1130.18</v>
      </c>
      <c r="I29" s="9">
        <f>+(1130.18)</f>
        <v>1130.18</v>
      </c>
    </row>
    <row r="30" spans="1:9" x14ac:dyDescent="0.25">
      <c r="A30" s="12"/>
      <c r="B30" s="12"/>
      <c r="C30" s="13">
        <v>11</v>
      </c>
      <c r="D30" s="13" t="s">
        <v>20</v>
      </c>
      <c r="E30" s="8"/>
      <c r="F30" s="9"/>
      <c r="G30" s="9"/>
      <c r="H30" s="9"/>
      <c r="I30" s="9"/>
    </row>
    <row r="31" spans="1:9" ht="25.5" x14ac:dyDescent="0.25">
      <c r="A31" s="14">
        <v>4</v>
      </c>
      <c r="B31" s="15"/>
      <c r="C31" s="15"/>
      <c r="D31" s="29" t="s">
        <v>26</v>
      </c>
      <c r="E31" s="8">
        <f>+E32</f>
        <v>31369.74</v>
      </c>
      <c r="F31" s="8">
        <f t="shared" ref="F31:I31" si="4">+F32</f>
        <v>1275723</v>
      </c>
      <c r="G31" s="8">
        <f t="shared" si="4"/>
        <v>1162013.8399999999</v>
      </c>
      <c r="H31" s="8">
        <f t="shared" si="4"/>
        <v>2260.35</v>
      </c>
      <c r="I31" s="8">
        <f t="shared" si="4"/>
        <v>2260.35</v>
      </c>
    </row>
    <row r="32" spans="1:9" ht="38.25" x14ac:dyDescent="0.25">
      <c r="A32" s="16"/>
      <c r="B32" s="16">
        <v>42</v>
      </c>
      <c r="C32" s="16"/>
      <c r="D32" s="30" t="s">
        <v>65</v>
      </c>
      <c r="E32" s="8">
        <f>31369.74</f>
        <v>31369.74</v>
      </c>
      <c r="F32" s="9">
        <f>+(80500+1073443+121780)</f>
        <v>1275723</v>
      </c>
      <c r="G32" s="9">
        <f>+(12055.2+1002088.5+37866.44+110003.7)</f>
        <v>1162013.8399999999</v>
      </c>
      <c r="H32" s="9">
        <f>2260.35</f>
        <v>2260.35</v>
      </c>
      <c r="I32" s="9">
        <f>2260.35</f>
        <v>2260.35</v>
      </c>
    </row>
    <row r="33" spans="1:9" x14ac:dyDescent="0.25">
      <c r="A33" s="16"/>
      <c r="B33" s="16"/>
      <c r="C33" s="13">
        <v>11</v>
      </c>
      <c r="D33" s="13" t="s">
        <v>20</v>
      </c>
      <c r="E33" s="8"/>
      <c r="F33" s="9"/>
      <c r="G33" s="9"/>
      <c r="H33" s="9"/>
      <c r="I33" s="10"/>
    </row>
    <row r="34" spans="1:9" x14ac:dyDescent="0.25">
      <c r="E34" s="86">
        <f>+E24+E31</f>
        <v>5590000.7100000009</v>
      </c>
      <c r="F34" s="86">
        <f t="shared" ref="F34:I34" si="5">+F24+F31</f>
        <v>7014703</v>
      </c>
      <c r="G34" s="86">
        <f t="shared" si="5"/>
        <v>6998742.9799999995</v>
      </c>
      <c r="H34" s="86">
        <f t="shared" si="5"/>
        <v>5554621.7699999996</v>
      </c>
      <c r="I34" s="86">
        <f t="shared" si="5"/>
        <v>5554621.7699999996</v>
      </c>
    </row>
  </sheetData>
  <mergeCells count="5">
    <mergeCell ref="A7:I7"/>
    <mergeCell ref="A21:I21"/>
    <mergeCell ref="A1:I1"/>
    <mergeCell ref="A3:I3"/>
    <mergeCell ref="A5:I5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0"/>
  <sheetViews>
    <sheetView zoomScale="120" zoomScaleNormal="120" workbookViewId="0">
      <selection activeCell="D86" sqref="D86"/>
    </sheetView>
  </sheetViews>
  <sheetFormatPr defaultColWidth="8.85546875" defaultRowHeight="15" x14ac:dyDescent="0.25"/>
  <cols>
    <col min="1" max="1" width="12" style="58" customWidth="1"/>
    <col min="2" max="2" width="8.42578125" style="58" hidden="1" customWidth="1"/>
    <col min="3" max="3" width="8.7109375" style="58" hidden="1" customWidth="1"/>
    <col min="4" max="4" width="39.140625" style="58" bestFit="1" customWidth="1"/>
    <col min="5" max="5" width="11.28515625" style="58" hidden="1" customWidth="1"/>
    <col min="6" max="6" width="14" style="58" bestFit="1" customWidth="1"/>
    <col min="7" max="7" width="11.28515625" style="58" hidden="1" customWidth="1"/>
    <col min="8" max="8" width="9.85546875" style="58" hidden="1" customWidth="1"/>
    <col min="9" max="9" width="11.28515625" style="58" hidden="1" customWidth="1"/>
    <col min="10" max="10" width="12.42578125" style="58" bestFit="1" customWidth="1"/>
    <col min="11" max="12" width="12.42578125" style="58" customWidth="1"/>
    <col min="13" max="13" width="11.28515625" style="58" hidden="1" customWidth="1"/>
    <col min="14" max="14" width="9.7109375" style="58" bestFit="1" customWidth="1"/>
    <col min="15" max="15" width="12.140625" style="58" hidden="1" customWidth="1"/>
    <col min="16" max="16" width="12.140625" style="58" customWidth="1"/>
    <col min="17" max="16384" width="8.85546875" style="58"/>
  </cols>
  <sheetData>
    <row r="1" spans="1:16" ht="42" customHeight="1" x14ac:dyDescent="0.3">
      <c r="A1" s="103" t="str">
        <f>+SAŽETAK!A1</f>
        <v>II. IZMJENE I DOPUNE FINANCIJSKOG PLANA INDUSTRIJSKO-OBRTNIČKE ŠKOLE PULA
ZA 2023. I PROJEKCIJA ZA 2024. I 2025. GODINU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6" ht="17.45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5"/>
      <c r="O2" s="5"/>
      <c r="P2" s="5"/>
    </row>
    <row r="3" spans="1:16" ht="18" customHeight="1" x14ac:dyDescent="0.3">
      <c r="A3" s="103" t="s">
        <v>36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6" ht="17.45" x14ac:dyDescent="0.3">
      <c r="A4" s="28"/>
      <c r="B4" s="28"/>
      <c r="C4" s="28"/>
      <c r="D4" s="28"/>
      <c r="E4" s="28"/>
      <c r="F4" s="28"/>
      <c r="G4" s="28"/>
      <c r="H4" s="28"/>
      <c r="I4" s="28"/>
      <c r="J4" s="92"/>
      <c r="K4" s="92"/>
      <c r="L4" s="92"/>
      <c r="M4" s="5"/>
      <c r="N4" s="5"/>
      <c r="O4" s="5"/>
      <c r="P4" s="5"/>
    </row>
    <row r="5" spans="1:16" ht="38.25" x14ac:dyDescent="0.25">
      <c r="A5" s="152" t="s">
        <v>38</v>
      </c>
      <c r="B5" s="153"/>
      <c r="C5" s="154"/>
      <c r="D5" s="59" t="s">
        <v>39</v>
      </c>
      <c r="F5" s="59" t="s">
        <v>121</v>
      </c>
      <c r="H5" s="60" t="s">
        <v>13</v>
      </c>
      <c r="J5" s="60" t="s">
        <v>57</v>
      </c>
      <c r="K5" s="60" t="s">
        <v>119</v>
      </c>
      <c r="L5" s="60" t="s">
        <v>120</v>
      </c>
      <c r="N5" s="60" t="s">
        <v>58</v>
      </c>
      <c r="O5" s="60" t="s">
        <v>59</v>
      </c>
      <c r="P5" s="60" t="s">
        <v>59</v>
      </c>
    </row>
    <row r="6" spans="1:16" ht="14.45" hidden="1" x14ac:dyDescent="0.3">
      <c r="A6" s="155" t="s">
        <v>45</v>
      </c>
      <c r="B6" s="156"/>
      <c r="C6" s="157"/>
      <c r="D6" s="61" t="s">
        <v>46</v>
      </c>
      <c r="E6" s="62"/>
      <c r="F6" s="62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4.45" hidden="1" x14ac:dyDescent="0.3">
      <c r="A7" s="155" t="s">
        <v>47</v>
      </c>
      <c r="B7" s="156"/>
      <c r="C7" s="157"/>
      <c r="D7" s="61" t="s">
        <v>48</v>
      </c>
      <c r="E7" s="62"/>
      <c r="F7" s="62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4.45" hidden="1" x14ac:dyDescent="0.3">
      <c r="A8" s="148" t="s">
        <v>49</v>
      </c>
      <c r="B8" s="149"/>
      <c r="C8" s="150"/>
      <c r="D8" s="64" t="s">
        <v>50</v>
      </c>
      <c r="E8" s="62"/>
      <c r="F8" s="62"/>
      <c r="G8" s="63"/>
      <c r="H8" s="63"/>
      <c r="I8" s="63"/>
      <c r="J8" s="63"/>
      <c r="K8" s="63"/>
      <c r="L8" s="63"/>
      <c r="M8" s="63"/>
      <c r="N8" s="63"/>
      <c r="O8" s="63"/>
      <c r="P8" s="65"/>
    </row>
    <row r="9" spans="1:16" ht="14.45" hidden="1" x14ac:dyDescent="0.3">
      <c r="A9" s="142">
        <v>3</v>
      </c>
      <c r="B9" s="143"/>
      <c r="C9" s="144"/>
      <c r="D9" s="66" t="s">
        <v>24</v>
      </c>
      <c r="E9" s="62"/>
      <c r="F9" s="62"/>
      <c r="G9" s="63"/>
      <c r="H9" s="63"/>
      <c r="I9" s="63"/>
      <c r="J9" s="63"/>
      <c r="K9" s="63"/>
      <c r="L9" s="63"/>
      <c r="M9" s="63"/>
      <c r="N9" s="63"/>
      <c r="O9" s="63"/>
      <c r="P9" s="65"/>
    </row>
    <row r="10" spans="1:16" ht="14.45" hidden="1" x14ac:dyDescent="0.3">
      <c r="A10" s="145">
        <v>31</v>
      </c>
      <c r="B10" s="146"/>
      <c r="C10" s="147"/>
      <c r="D10" s="66" t="s">
        <v>25</v>
      </c>
      <c r="E10" s="62"/>
      <c r="F10" s="62"/>
      <c r="G10" s="63"/>
      <c r="H10" s="63"/>
      <c r="I10" s="63"/>
      <c r="J10" s="63"/>
      <c r="K10" s="63"/>
      <c r="L10" s="63"/>
      <c r="M10" s="63"/>
      <c r="N10" s="63"/>
      <c r="O10" s="63"/>
      <c r="P10" s="65"/>
    </row>
    <row r="11" spans="1:16" ht="14.45" hidden="1" x14ac:dyDescent="0.3">
      <c r="A11" s="145">
        <v>32</v>
      </c>
      <c r="B11" s="146"/>
      <c r="C11" s="147"/>
      <c r="D11" s="66" t="s">
        <v>40</v>
      </c>
      <c r="E11" s="62"/>
      <c r="F11" s="62"/>
      <c r="G11" s="63"/>
      <c r="H11" s="63"/>
      <c r="I11" s="63"/>
      <c r="J11" s="63"/>
      <c r="K11" s="63"/>
      <c r="L11" s="63"/>
      <c r="M11" s="63"/>
      <c r="N11" s="63"/>
      <c r="O11" s="63"/>
      <c r="P11" s="65"/>
    </row>
    <row r="12" spans="1:16" ht="14.45" hidden="1" x14ac:dyDescent="0.3">
      <c r="A12" s="155" t="s">
        <v>45</v>
      </c>
      <c r="B12" s="156"/>
      <c r="C12" s="157"/>
      <c r="D12" s="61" t="s">
        <v>46</v>
      </c>
      <c r="E12" s="62"/>
      <c r="F12" s="62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14.25" hidden="1" customHeight="1" x14ac:dyDescent="0.3">
      <c r="A13" s="155" t="s">
        <v>51</v>
      </c>
      <c r="B13" s="156"/>
      <c r="C13" s="157"/>
      <c r="D13" s="61" t="s">
        <v>52</v>
      </c>
      <c r="E13" s="62"/>
      <c r="F13" s="62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6" ht="15" hidden="1" customHeight="1" x14ac:dyDescent="0.3">
      <c r="A14" s="148" t="s">
        <v>49</v>
      </c>
      <c r="B14" s="149"/>
      <c r="C14" s="150"/>
      <c r="D14" s="64" t="s">
        <v>50</v>
      </c>
      <c r="E14" s="62"/>
      <c r="F14" s="62"/>
      <c r="G14" s="63"/>
      <c r="H14" s="63"/>
      <c r="I14" s="63"/>
      <c r="J14" s="63"/>
      <c r="K14" s="63"/>
      <c r="L14" s="63"/>
      <c r="M14" s="63"/>
      <c r="N14" s="63"/>
      <c r="O14" s="63"/>
      <c r="P14" s="65"/>
    </row>
    <row r="15" spans="1:16" ht="14.45" hidden="1" x14ac:dyDescent="0.3">
      <c r="A15" s="142">
        <v>3</v>
      </c>
      <c r="B15" s="143"/>
      <c r="C15" s="144"/>
      <c r="D15" s="66" t="s">
        <v>24</v>
      </c>
      <c r="E15" s="62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5"/>
    </row>
    <row r="16" spans="1:16" ht="14.45" hidden="1" x14ac:dyDescent="0.3">
      <c r="A16" s="145">
        <v>32</v>
      </c>
      <c r="B16" s="146"/>
      <c r="C16" s="147"/>
      <c r="D16" s="66" t="s">
        <v>40</v>
      </c>
      <c r="E16" s="62"/>
      <c r="F16" s="62"/>
      <c r="G16" s="63"/>
      <c r="H16" s="63"/>
      <c r="I16" s="63"/>
      <c r="J16" s="63"/>
      <c r="K16" s="63"/>
      <c r="L16" s="63"/>
      <c r="M16" s="63"/>
      <c r="N16" s="63"/>
      <c r="O16" s="63"/>
      <c r="P16" s="65"/>
    </row>
    <row r="17" spans="1:21" ht="15" hidden="1" customHeight="1" x14ac:dyDescent="0.3">
      <c r="A17" s="148" t="s">
        <v>49</v>
      </c>
      <c r="B17" s="149"/>
      <c r="C17" s="150"/>
      <c r="D17" s="64" t="s">
        <v>50</v>
      </c>
      <c r="E17" s="62"/>
      <c r="F17" s="62"/>
      <c r="G17" s="63"/>
      <c r="H17" s="63"/>
      <c r="I17" s="63"/>
      <c r="J17" s="63"/>
      <c r="K17" s="63"/>
      <c r="L17" s="63"/>
      <c r="M17" s="63"/>
      <c r="N17" s="63"/>
      <c r="O17" s="63"/>
      <c r="P17" s="65"/>
    </row>
    <row r="18" spans="1:21" ht="14.45" hidden="1" x14ac:dyDescent="0.3">
      <c r="A18" s="142">
        <v>4</v>
      </c>
      <c r="B18" s="143"/>
      <c r="C18" s="144"/>
      <c r="D18" s="66" t="s">
        <v>26</v>
      </c>
      <c r="E18" s="62"/>
      <c r="F18" s="62"/>
      <c r="G18" s="63"/>
      <c r="H18" s="63"/>
      <c r="I18" s="63"/>
      <c r="J18" s="63"/>
      <c r="K18" s="63"/>
      <c r="L18" s="63"/>
      <c r="M18" s="63"/>
      <c r="N18" s="63"/>
      <c r="O18" s="63"/>
      <c r="P18" s="65"/>
    </row>
    <row r="19" spans="1:21" ht="26.45" hidden="1" x14ac:dyDescent="0.3">
      <c r="A19" s="145">
        <v>42</v>
      </c>
      <c r="B19" s="146"/>
      <c r="C19" s="147"/>
      <c r="D19" s="66" t="s">
        <v>65</v>
      </c>
      <c r="E19" s="62"/>
      <c r="F19" s="62"/>
      <c r="G19" s="63"/>
      <c r="H19" s="63"/>
      <c r="I19" s="63"/>
      <c r="J19" s="63"/>
      <c r="K19" s="63"/>
      <c r="L19" s="63"/>
      <c r="M19" s="63"/>
      <c r="N19" s="63"/>
      <c r="O19" s="63"/>
      <c r="P19" s="65"/>
    </row>
    <row r="20" spans="1:21" s="57" customFormat="1" ht="16.5" x14ac:dyDescent="0.25">
      <c r="A20" s="129" t="s">
        <v>113</v>
      </c>
      <c r="B20" s="130"/>
      <c r="C20" s="131"/>
      <c r="D20" s="67" t="s">
        <v>114</v>
      </c>
      <c r="E20" s="68">
        <f>+E21+E52+E99+E117</f>
        <v>5590000.71</v>
      </c>
      <c r="F20" s="68">
        <f>+F21+F52+F99+F117+F94</f>
        <v>761473.21000000008</v>
      </c>
      <c r="G20" s="68">
        <f>+G21+G52+G99+G117</f>
        <v>7014703</v>
      </c>
      <c r="H20" s="68">
        <f>+G20/7.5345</f>
        <v>931011.08235450252</v>
      </c>
      <c r="I20" s="68">
        <f>+I21+I52+I99+I117</f>
        <v>6998739.9799999995</v>
      </c>
      <c r="J20" s="68">
        <f>+J21+J52+J99+J117+J94</f>
        <v>1023092.62</v>
      </c>
      <c r="K20" s="68">
        <f>+K21+K52+K99+K117+K94</f>
        <v>94552.600000000093</v>
      </c>
      <c r="L20" s="68">
        <f>+L21+L52+L99+L117+L94</f>
        <v>1117645.22</v>
      </c>
      <c r="M20" s="68">
        <f>+M21+M52+M99+M117</f>
        <v>5554621.7699999996</v>
      </c>
      <c r="N20" s="68">
        <f>+M20/7.5345</f>
        <v>737225.00099542097</v>
      </c>
      <c r="O20" s="68">
        <f>+O21+O52+O99+O117</f>
        <v>5554621.7699999996</v>
      </c>
      <c r="P20" s="84">
        <f>+O20/7.5345</f>
        <v>737225.00099542097</v>
      </c>
      <c r="Q20" s="58"/>
      <c r="R20" s="58"/>
      <c r="S20" s="58"/>
      <c r="T20" s="58"/>
      <c r="U20" s="58"/>
    </row>
    <row r="21" spans="1:21" ht="27.6" x14ac:dyDescent="0.3">
      <c r="A21" s="129">
        <v>2201</v>
      </c>
      <c r="B21" s="130"/>
      <c r="C21" s="131"/>
      <c r="D21" s="69" t="s">
        <v>72</v>
      </c>
      <c r="E21" s="70">
        <f>+E22+E27+E31+E46</f>
        <v>5274328.2700000005</v>
      </c>
      <c r="F21" s="70">
        <f t="shared" ref="F21" si="0">+F22+F27+F31+F46</f>
        <v>710213.07000000007</v>
      </c>
      <c r="G21" s="70">
        <f t="shared" ref="G21:O21" si="1">+G22+G27+G31+G46</f>
        <v>5407038</v>
      </c>
      <c r="H21" s="70">
        <f t="shared" ref="H21" si="2">+G21/7.5345</f>
        <v>717637.26856460283</v>
      </c>
      <c r="I21" s="70">
        <f t="shared" si="1"/>
        <v>5531844.9799999995</v>
      </c>
      <c r="J21" s="70">
        <f t="shared" ref="J21:L21" si="3">+J22+J27+J31+J46</f>
        <v>742591.59</v>
      </c>
      <c r="K21" s="70">
        <f t="shared" ref="K21:K100" si="4">+L21-J21</f>
        <v>98477.180000000051</v>
      </c>
      <c r="L21" s="70">
        <f t="shared" si="3"/>
        <v>841068.77</v>
      </c>
      <c r="M21" s="70">
        <f t="shared" si="1"/>
        <v>5522050.1299999999</v>
      </c>
      <c r="N21" s="70">
        <f t="shared" ref="N21" si="5">+M21/7.5345</f>
        <v>732902.00145995081</v>
      </c>
      <c r="O21" s="70">
        <f t="shared" si="1"/>
        <v>5522050.1299999999</v>
      </c>
      <c r="P21" s="85">
        <f t="shared" ref="P21" si="6">+O21/7.5345</f>
        <v>732902.00145995081</v>
      </c>
    </row>
    <row r="22" spans="1:21" s="80" customFormat="1" ht="14.45" x14ac:dyDescent="0.3">
      <c r="A22" s="139" t="s">
        <v>73</v>
      </c>
      <c r="B22" s="140"/>
      <c r="C22" s="141"/>
      <c r="D22" s="71" t="s">
        <v>74</v>
      </c>
      <c r="E22" s="82">
        <f>+E23</f>
        <v>300943.08</v>
      </c>
      <c r="F22" s="82">
        <f t="shared" ref="F22:O22" si="7">+F23</f>
        <v>40810.85</v>
      </c>
      <c r="G22" s="82">
        <f t="shared" si="7"/>
        <v>307489</v>
      </c>
      <c r="H22" s="82">
        <f t="shared" ref="H22" si="8">+G22/7.5345</f>
        <v>40810.803636604949</v>
      </c>
      <c r="I22" s="82">
        <f t="shared" si="7"/>
        <v>307490.48</v>
      </c>
      <c r="J22" s="82">
        <f t="shared" si="7"/>
        <v>42252.24</v>
      </c>
      <c r="K22" s="82">
        <f t="shared" si="4"/>
        <v>0</v>
      </c>
      <c r="L22" s="82">
        <f t="shared" si="7"/>
        <v>42252.24</v>
      </c>
      <c r="M22" s="82">
        <f t="shared" si="7"/>
        <v>307490.48</v>
      </c>
      <c r="N22" s="82">
        <f t="shared" ref="N22" si="9">+M22/7.5345</f>
        <v>40811.000066361397</v>
      </c>
      <c r="O22" s="82">
        <f t="shared" si="7"/>
        <v>307490.48</v>
      </c>
      <c r="P22" s="83">
        <f t="shared" ref="P22" si="10">+O22/7.5345</f>
        <v>40811.000066361397</v>
      </c>
    </row>
    <row r="23" spans="1:21" s="80" customFormat="1" x14ac:dyDescent="0.25">
      <c r="A23" s="134">
        <v>48007</v>
      </c>
      <c r="B23" s="135"/>
      <c r="C23" s="136"/>
      <c r="D23" s="71" t="s">
        <v>75</v>
      </c>
      <c r="E23" s="82">
        <v>300943.08</v>
      </c>
      <c r="F23" s="82">
        <f>+F24</f>
        <v>40810.85</v>
      </c>
      <c r="G23" s="82">
        <v>307489</v>
      </c>
      <c r="H23" s="82">
        <f t="shared" ref="H23" si="11">+G23/7.5345</f>
        <v>40810.803636604949</v>
      </c>
      <c r="I23" s="82">
        <v>307490.48</v>
      </c>
      <c r="J23" s="82">
        <f>+J24</f>
        <v>42252.24</v>
      </c>
      <c r="K23" s="82">
        <f t="shared" si="4"/>
        <v>0</v>
      </c>
      <c r="L23" s="82">
        <f>+L24</f>
        <v>42252.24</v>
      </c>
      <c r="M23" s="82">
        <v>307490.48</v>
      </c>
      <c r="N23" s="82">
        <f t="shared" ref="N23" si="12">+M23/7.5345</f>
        <v>40811.000066361397</v>
      </c>
      <c r="O23" s="82">
        <v>307490.48</v>
      </c>
      <c r="P23" s="83">
        <f t="shared" ref="P23" si="13">+O23/7.5345</f>
        <v>40811.000066361397</v>
      </c>
    </row>
    <row r="24" spans="1:21" s="81" customFormat="1" ht="14.45" x14ac:dyDescent="0.3">
      <c r="A24" s="45">
        <v>3</v>
      </c>
      <c r="B24" s="53"/>
      <c r="C24" s="53"/>
      <c r="D24" s="46" t="s">
        <v>22</v>
      </c>
      <c r="E24" s="47">
        <v>300943.08</v>
      </c>
      <c r="F24" s="47">
        <f>SUM(F25:F26)</f>
        <v>40810.85</v>
      </c>
      <c r="G24" s="47">
        <v>307489</v>
      </c>
      <c r="H24" s="47">
        <f t="shared" ref="H24" si="14">+G24/7.5345</f>
        <v>40810.803636604949</v>
      </c>
      <c r="I24" s="47">
        <v>307490.48</v>
      </c>
      <c r="J24" s="47">
        <f>SUM(J25:J26)</f>
        <v>42252.24</v>
      </c>
      <c r="K24" s="47">
        <f t="shared" si="4"/>
        <v>0</v>
      </c>
      <c r="L24" s="47">
        <f>SUM(L25:L26)</f>
        <v>42252.24</v>
      </c>
      <c r="M24" s="47">
        <v>307490.48</v>
      </c>
      <c r="N24" s="47">
        <f t="shared" ref="N24" si="15">+M24/7.5345</f>
        <v>40811.000066361397</v>
      </c>
      <c r="O24" s="47">
        <v>307490.48</v>
      </c>
      <c r="P24" s="55">
        <f t="shared" ref="P24" si="16">+O24/7.5345</f>
        <v>40811.000066361397</v>
      </c>
    </row>
    <row r="25" spans="1:21" s="81" customFormat="1" ht="14.45" x14ac:dyDescent="0.3">
      <c r="A25" s="45">
        <v>32</v>
      </c>
      <c r="B25" s="53"/>
      <c r="C25" s="53"/>
      <c r="D25" s="46" t="s">
        <v>40</v>
      </c>
      <c r="E25" s="47">
        <v>296713.47000000003</v>
      </c>
      <c r="F25" s="47">
        <v>40436.57</v>
      </c>
      <c r="G25" s="47">
        <v>304489</v>
      </c>
      <c r="H25" s="47">
        <f t="shared" ref="H25" si="17">+G25/7.5345</f>
        <v>40412.63521136107</v>
      </c>
      <c r="I25" s="47">
        <v>306360.3</v>
      </c>
      <c r="J25" s="47">
        <v>41852.239999999998</v>
      </c>
      <c r="K25" s="47">
        <f t="shared" si="4"/>
        <v>100</v>
      </c>
      <c r="L25" s="47">
        <v>41952.24</v>
      </c>
      <c r="M25" s="47">
        <v>306360.3</v>
      </c>
      <c r="N25" s="47">
        <f t="shared" ref="N25" si="18">+M25/7.5345</f>
        <v>40660.999402747359</v>
      </c>
      <c r="O25" s="47">
        <v>306360.3</v>
      </c>
      <c r="P25" s="55">
        <f t="shared" ref="P25" si="19">+O25/7.5345</f>
        <v>40660.999402747359</v>
      </c>
    </row>
    <row r="26" spans="1:21" s="81" customFormat="1" ht="14.45" x14ac:dyDescent="0.3">
      <c r="A26" s="45">
        <v>34</v>
      </c>
      <c r="B26" s="53"/>
      <c r="C26" s="53"/>
      <c r="D26" s="49" t="s">
        <v>76</v>
      </c>
      <c r="E26" s="47">
        <v>4229.6099999999997</v>
      </c>
      <c r="F26" s="47">
        <v>374.28</v>
      </c>
      <c r="G26" s="47">
        <v>3000</v>
      </c>
      <c r="H26" s="47">
        <f t="shared" ref="H26" si="20">+G26/7.5345</f>
        <v>398.16842524387812</v>
      </c>
      <c r="I26" s="47">
        <v>1130.18</v>
      </c>
      <c r="J26" s="47">
        <v>400</v>
      </c>
      <c r="K26" s="47">
        <f t="shared" si="4"/>
        <v>-100</v>
      </c>
      <c r="L26" s="47">
        <v>300</v>
      </c>
      <c r="M26" s="47">
        <v>1130.18</v>
      </c>
      <c r="N26" s="47">
        <f t="shared" ref="N26" si="21">+M26/7.5345</f>
        <v>150.00066361404208</v>
      </c>
      <c r="O26" s="47">
        <v>1130.18</v>
      </c>
      <c r="P26" s="55">
        <f t="shared" ref="P26" si="22">+O26/7.5345</f>
        <v>150.00066361404208</v>
      </c>
    </row>
    <row r="27" spans="1:21" s="80" customFormat="1" x14ac:dyDescent="0.25">
      <c r="A27" s="139" t="s">
        <v>77</v>
      </c>
      <c r="B27" s="140"/>
      <c r="C27" s="141"/>
      <c r="D27" s="71" t="s">
        <v>78</v>
      </c>
      <c r="E27" s="82">
        <f>+E28</f>
        <v>235037.32</v>
      </c>
      <c r="F27" s="82">
        <f t="shared" ref="F27:O27" si="23">+F28</f>
        <v>36245.599999999999</v>
      </c>
      <c r="G27" s="82">
        <f t="shared" si="23"/>
        <v>275539</v>
      </c>
      <c r="H27" s="82">
        <f t="shared" ref="H27" si="24">+G27/7.5345</f>
        <v>36570.309907757648</v>
      </c>
      <c r="I27" s="82">
        <f t="shared" si="23"/>
        <v>275536.67</v>
      </c>
      <c r="J27" s="82">
        <f t="shared" si="23"/>
        <v>37878.83</v>
      </c>
      <c r="K27" s="82">
        <f t="shared" si="4"/>
        <v>4271.5199999999968</v>
      </c>
      <c r="L27" s="82">
        <f t="shared" si="23"/>
        <v>42150.35</v>
      </c>
      <c r="M27" s="82">
        <f t="shared" si="23"/>
        <v>275536.67</v>
      </c>
      <c r="N27" s="82">
        <f t="shared" ref="N27" si="25">+M27/7.5345</f>
        <v>36570.000663614039</v>
      </c>
      <c r="O27" s="82">
        <f t="shared" si="23"/>
        <v>275536.67</v>
      </c>
      <c r="P27" s="83">
        <f t="shared" ref="P27" si="26">+O27/7.5345</f>
        <v>36570.000663614039</v>
      </c>
    </row>
    <row r="28" spans="1:21" s="80" customFormat="1" x14ac:dyDescent="0.25">
      <c r="A28" s="134">
        <v>48007</v>
      </c>
      <c r="B28" s="135"/>
      <c r="C28" s="136"/>
      <c r="D28" s="71" t="s">
        <v>75</v>
      </c>
      <c r="E28" s="82">
        <v>235037.32</v>
      </c>
      <c r="F28" s="82">
        <f>+F29</f>
        <v>36245.599999999999</v>
      </c>
      <c r="G28" s="82">
        <v>275539</v>
      </c>
      <c r="H28" s="82">
        <f t="shared" ref="H28" si="27">+G28/7.5345</f>
        <v>36570.309907757648</v>
      </c>
      <c r="I28" s="82">
        <v>275536.67</v>
      </c>
      <c r="J28" s="82">
        <f>+J29</f>
        <v>37878.83</v>
      </c>
      <c r="K28" s="82">
        <f t="shared" si="4"/>
        <v>4271.5199999999968</v>
      </c>
      <c r="L28" s="82">
        <f>+L29</f>
        <v>42150.35</v>
      </c>
      <c r="M28" s="82">
        <v>275536.67</v>
      </c>
      <c r="N28" s="82">
        <f t="shared" ref="N28" si="28">+M28/7.5345</f>
        <v>36570.000663614039</v>
      </c>
      <c r="O28" s="82">
        <v>275536.67</v>
      </c>
      <c r="P28" s="83">
        <f t="shared" ref="P28" si="29">+O28/7.5345</f>
        <v>36570.000663614039</v>
      </c>
    </row>
    <row r="29" spans="1:21" s="81" customFormat="1" ht="14.45" x14ac:dyDescent="0.3">
      <c r="A29" s="45">
        <v>3</v>
      </c>
      <c r="B29" s="53"/>
      <c r="C29" s="53"/>
      <c r="D29" s="46" t="s">
        <v>22</v>
      </c>
      <c r="E29" s="47">
        <v>235037.32</v>
      </c>
      <c r="F29" s="47">
        <f>+F30</f>
        <v>36245.599999999999</v>
      </c>
      <c r="G29" s="47">
        <v>275539</v>
      </c>
      <c r="H29" s="47">
        <f t="shared" ref="H29" si="30">+G29/7.5345</f>
        <v>36570.309907757648</v>
      </c>
      <c r="I29" s="47">
        <v>275536.67</v>
      </c>
      <c r="J29" s="47">
        <f>+J30</f>
        <v>37878.83</v>
      </c>
      <c r="K29" s="47">
        <f t="shared" si="4"/>
        <v>4271.5199999999968</v>
      </c>
      <c r="L29" s="47">
        <f>+L30</f>
        <v>42150.35</v>
      </c>
      <c r="M29" s="47">
        <v>275536.67</v>
      </c>
      <c r="N29" s="47">
        <f t="shared" ref="N29" si="31">+M29/7.5345</f>
        <v>36570.000663614039</v>
      </c>
      <c r="O29" s="47">
        <v>275536.67</v>
      </c>
      <c r="P29" s="55">
        <f t="shared" ref="P29" si="32">+O29/7.5345</f>
        <v>36570.000663614039</v>
      </c>
    </row>
    <row r="30" spans="1:21" s="81" customFormat="1" ht="14.45" x14ac:dyDescent="0.3">
      <c r="A30" s="45">
        <v>32</v>
      </c>
      <c r="B30" s="53"/>
      <c r="C30" s="53"/>
      <c r="D30" s="46" t="s">
        <v>40</v>
      </c>
      <c r="E30" s="47">
        <v>235037.32</v>
      </c>
      <c r="F30" s="47">
        <v>36245.599999999999</v>
      </c>
      <c r="G30" s="47">
        <v>275539</v>
      </c>
      <c r="H30" s="47">
        <f t="shared" ref="H30" si="33">+G30/7.5345</f>
        <v>36570.309907757648</v>
      </c>
      <c r="I30" s="47">
        <v>275536.67</v>
      </c>
      <c r="J30" s="47">
        <v>37878.83</v>
      </c>
      <c r="K30" s="47">
        <f t="shared" si="4"/>
        <v>4271.5199999999968</v>
      </c>
      <c r="L30" s="47">
        <v>42150.35</v>
      </c>
      <c r="M30" s="47">
        <v>275536.67</v>
      </c>
      <c r="N30" s="47">
        <f t="shared" ref="N30" si="34">+M30/7.5345</f>
        <v>36570.000663614039</v>
      </c>
      <c r="O30" s="47">
        <v>275536.67</v>
      </c>
      <c r="P30" s="55">
        <f t="shared" ref="P30" si="35">+O30/7.5345</f>
        <v>36570.000663614039</v>
      </c>
    </row>
    <row r="31" spans="1:21" s="80" customFormat="1" ht="14.45" x14ac:dyDescent="0.3">
      <c r="A31" s="139" t="s">
        <v>79</v>
      </c>
      <c r="B31" s="140"/>
      <c r="C31" s="141"/>
      <c r="D31" s="69" t="s">
        <v>80</v>
      </c>
      <c r="E31" s="82">
        <f>+E32+E38+E43</f>
        <v>57914.430000000008</v>
      </c>
      <c r="F31" s="82">
        <f t="shared" ref="F31" si="36">+F32+F38+F43</f>
        <v>7350.47</v>
      </c>
      <c r="G31" s="82">
        <f>+G32+G38+G43</f>
        <v>145500</v>
      </c>
      <c r="H31" s="82">
        <f t="shared" ref="H31" si="37">+G31/7.5345</f>
        <v>19311.168624328089</v>
      </c>
      <c r="I31" s="82">
        <f>+I32+I38+I43</f>
        <v>61036.990000000005</v>
      </c>
      <c r="J31" s="82">
        <f t="shared" ref="J31:L31" si="38">+J32+J38+J43</f>
        <v>13740.52</v>
      </c>
      <c r="K31" s="82">
        <f t="shared" si="4"/>
        <v>8825.66</v>
      </c>
      <c r="L31" s="82">
        <f t="shared" si="38"/>
        <v>22566.18</v>
      </c>
      <c r="M31" s="82">
        <f>+M32+M38+M43</f>
        <v>51242.14</v>
      </c>
      <c r="N31" s="82">
        <f t="shared" ref="N31" si="39">+M31/7.5345</f>
        <v>6801.0007299754461</v>
      </c>
      <c r="O31" s="82">
        <f>+O32+O38+O43</f>
        <v>51242.14</v>
      </c>
      <c r="P31" s="83">
        <f t="shared" ref="P31" si="40">+O31/7.5345</f>
        <v>6801.0007299754461</v>
      </c>
    </row>
    <row r="32" spans="1:21" s="80" customFormat="1" x14ac:dyDescent="0.25">
      <c r="A32" s="134">
        <v>32400</v>
      </c>
      <c r="B32" s="135"/>
      <c r="C32" s="136"/>
      <c r="D32" s="71" t="s">
        <v>81</v>
      </c>
      <c r="E32" s="82">
        <v>40190.240000000005</v>
      </c>
      <c r="F32" s="82">
        <f>+F33+F36</f>
        <v>6816.89</v>
      </c>
      <c r="G32" s="82">
        <v>65000</v>
      </c>
      <c r="H32" s="82">
        <f t="shared" ref="H32" si="41">+G32/7.5345</f>
        <v>8626.9825469506923</v>
      </c>
      <c r="I32" s="82">
        <v>48981.79</v>
      </c>
      <c r="J32" s="82">
        <f>+J33+J36</f>
        <v>6501</v>
      </c>
      <c r="K32" s="82">
        <f t="shared" si="4"/>
        <v>7766.92</v>
      </c>
      <c r="L32" s="82">
        <f>+L33+L36</f>
        <v>14267.92</v>
      </c>
      <c r="M32" s="82">
        <v>48981.79</v>
      </c>
      <c r="N32" s="82">
        <f t="shared" ref="N32" si="42">+M32/7.5345</f>
        <v>6501.0007299754461</v>
      </c>
      <c r="O32" s="82">
        <v>48981.79</v>
      </c>
      <c r="P32" s="83">
        <f t="shared" ref="P32" si="43">+O32/7.5345</f>
        <v>6501.0007299754461</v>
      </c>
    </row>
    <row r="33" spans="1:16" s="81" customFormat="1" ht="14.45" x14ac:dyDescent="0.3">
      <c r="A33" s="45">
        <v>3</v>
      </c>
      <c r="B33" s="53"/>
      <c r="C33" s="53"/>
      <c r="D33" s="46" t="s">
        <v>22</v>
      </c>
      <c r="E33" s="47">
        <v>40190.240000000005</v>
      </c>
      <c r="F33" s="47">
        <f>SUM(F34:F35)</f>
        <v>6816.89</v>
      </c>
      <c r="G33" s="47">
        <f t="shared" ref="G33:J33" si="44">SUM(G34:G35)</f>
        <v>68000</v>
      </c>
      <c r="H33" s="47">
        <f t="shared" si="44"/>
        <v>9025.1509721945695</v>
      </c>
      <c r="I33" s="47">
        <f t="shared" si="44"/>
        <v>50111.97</v>
      </c>
      <c r="J33" s="47">
        <f t="shared" si="44"/>
        <v>5837.39</v>
      </c>
      <c r="K33" s="47">
        <f t="shared" si="4"/>
        <v>7666.9199999999992</v>
      </c>
      <c r="L33" s="47">
        <f t="shared" ref="L33" si="45">SUM(L34:L35)</f>
        <v>13504.31</v>
      </c>
      <c r="M33" s="47">
        <f t="shared" ref="M33" si="46">SUM(M34:M35)</f>
        <v>50111.97</v>
      </c>
      <c r="N33" s="47">
        <f t="shared" ref="N33" si="47">SUM(N34:N35)</f>
        <v>6501.0007299754461</v>
      </c>
      <c r="O33" s="47">
        <v>48981.79</v>
      </c>
      <c r="P33" s="55">
        <f>SUM(P34:P35)</f>
        <v>6501.0007299754461</v>
      </c>
    </row>
    <row r="34" spans="1:16" s="81" customFormat="1" ht="14.45" x14ac:dyDescent="0.3">
      <c r="A34" s="45">
        <v>32</v>
      </c>
      <c r="B34" s="53"/>
      <c r="C34" s="53"/>
      <c r="D34" s="46" t="s">
        <v>40</v>
      </c>
      <c r="E34" s="47">
        <v>40190.240000000005</v>
      </c>
      <c r="F34" s="47">
        <v>6816.89</v>
      </c>
      <c r="G34" s="47">
        <v>65000</v>
      </c>
      <c r="H34" s="47">
        <f t="shared" ref="H34:H35" si="48">+G34/7.5345</f>
        <v>8626.9825469506923</v>
      </c>
      <c r="I34" s="47">
        <v>48981.79</v>
      </c>
      <c r="J34" s="47">
        <v>5837.39</v>
      </c>
      <c r="K34" s="47">
        <f t="shared" si="4"/>
        <v>7566.9199999999992</v>
      </c>
      <c r="L34" s="47">
        <v>13404.31</v>
      </c>
      <c r="M34" s="47">
        <v>48981.79</v>
      </c>
      <c r="N34" s="47">
        <f t="shared" ref="N34" si="49">+M34/7.5345</f>
        <v>6501.0007299754461</v>
      </c>
      <c r="O34" s="47">
        <v>48981.79</v>
      </c>
      <c r="P34" s="55">
        <f t="shared" ref="P34" si="50">+O34/7.5345</f>
        <v>6501.0007299754461</v>
      </c>
    </row>
    <row r="35" spans="1:16" s="81" customFormat="1" ht="14.45" x14ac:dyDescent="0.3">
      <c r="A35" s="45">
        <v>34</v>
      </c>
      <c r="B35" s="53"/>
      <c r="C35" s="96"/>
      <c r="D35" s="98" t="s">
        <v>76</v>
      </c>
      <c r="E35" s="97">
        <v>4229.6099999999997</v>
      </c>
      <c r="F35" s="47">
        <v>0</v>
      </c>
      <c r="G35" s="47">
        <v>3000</v>
      </c>
      <c r="H35" s="47">
        <f t="shared" si="48"/>
        <v>398.16842524387812</v>
      </c>
      <c r="I35" s="47">
        <v>1130.18</v>
      </c>
      <c r="J35" s="47">
        <v>0</v>
      </c>
      <c r="K35" s="47">
        <f t="shared" ref="K35" si="51">+L35-J35</f>
        <v>100</v>
      </c>
      <c r="L35" s="47">
        <v>100</v>
      </c>
      <c r="M35" s="47">
        <v>1130.18</v>
      </c>
      <c r="N35" s="47">
        <v>0</v>
      </c>
      <c r="O35" s="47">
        <v>1130.18</v>
      </c>
      <c r="P35" s="55">
        <v>0</v>
      </c>
    </row>
    <row r="36" spans="1:16" s="81" customFormat="1" ht="14.45" x14ac:dyDescent="0.3">
      <c r="A36" s="45">
        <v>4</v>
      </c>
      <c r="B36" s="52"/>
      <c r="C36" s="52"/>
      <c r="D36" s="46" t="s">
        <v>5</v>
      </c>
      <c r="E36" s="94"/>
      <c r="F36" s="94">
        <f>+F37</f>
        <v>0</v>
      </c>
      <c r="G36" s="94">
        <v>0</v>
      </c>
      <c r="H36" s="94">
        <v>0</v>
      </c>
      <c r="I36" s="94">
        <v>0</v>
      </c>
      <c r="J36" s="94">
        <f>+J37</f>
        <v>663.61</v>
      </c>
      <c r="K36" s="94">
        <v>0</v>
      </c>
      <c r="L36" s="94">
        <f>+L37</f>
        <v>763.61</v>
      </c>
      <c r="M36" s="94"/>
      <c r="N36" s="94">
        <v>0</v>
      </c>
      <c r="O36" s="94">
        <v>0</v>
      </c>
      <c r="P36" s="55">
        <v>0</v>
      </c>
    </row>
    <row r="37" spans="1:16" s="81" customFormat="1" ht="14.45" x14ac:dyDescent="0.3">
      <c r="A37" s="45">
        <v>42</v>
      </c>
      <c r="B37" s="52"/>
      <c r="C37" s="52"/>
      <c r="D37" s="49" t="s">
        <v>115</v>
      </c>
      <c r="E37" s="94"/>
      <c r="F37" s="94">
        <v>0</v>
      </c>
      <c r="G37" s="94">
        <v>0</v>
      </c>
      <c r="H37" s="94">
        <v>0</v>
      </c>
      <c r="I37" s="94">
        <v>0</v>
      </c>
      <c r="J37" s="94">
        <v>663.61</v>
      </c>
      <c r="K37" s="94">
        <v>0</v>
      </c>
      <c r="L37" s="94">
        <v>763.61</v>
      </c>
      <c r="M37" s="94"/>
      <c r="N37" s="94">
        <v>0</v>
      </c>
      <c r="O37" s="94">
        <v>0</v>
      </c>
      <c r="P37" s="55">
        <v>0</v>
      </c>
    </row>
    <row r="38" spans="1:16" s="80" customFormat="1" x14ac:dyDescent="0.25">
      <c r="A38" s="125">
        <v>47400</v>
      </c>
      <c r="B38" s="137"/>
      <c r="C38" s="138"/>
      <c r="D38" s="71" t="s">
        <v>82</v>
      </c>
      <c r="E38" s="82">
        <v>7724.19</v>
      </c>
      <c r="F38" s="82">
        <f>+F39+F41</f>
        <v>533.58000000000004</v>
      </c>
      <c r="G38" s="82">
        <v>80500</v>
      </c>
      <c r="H38" s="82">
        <f t="shared" ref="H38" si="52">+G38/7.5345</f>
        <v>10684.186077377397</v>
      </c>
      <c r="I38" s="82">
        <v>12055.2</v>
      </c>
      <c r="J38" s="82">
        <f>+J39+J41</f>
        <v>7239.52</v>
      </c>
      <c r="K38" s="82">
        <f t="shared" si="4"/>
        <v>1058.7399999999998</v>
      </c>
      <c r="L38" s="82">
        <f>+L39+L41</f>
        <v>8298.26</v>
      </c>
      <c r="M38" s="82">
        <v>2260.35</v>
      </c>
      <c r="N38" s="82">
        <f t="shared" ref="N38" si="53">+M38/7.5345</f>
        <v>299.99999999999994</v>
      </c>
      <c r="O38" s="82">
        <v>2260.35</v>
      </c>
      <c r="P38" s="83">
        <f t="shared" ref="P38" si="54">+O38/7.5345</f>
        <v>299.99999999999994</v>
      </c>
    </row>
    <row r="39" spans="1:16" s="80" customFormat="1" ht="14.45" x14ac:dyDescent="0.3">
      <c r="A39" s="45">
        <v>3</v>
      </c>
      <c r="B39" s="53"/>
      <c r="C39" s="53"/>
      <c r="D39" s="46" t="s">
        <v>22</v>
      </c>
      <c r="E39" s="95"/>
      <c r="F39" s="47">
        <f>+F40</f>
        <v>523.62</v>
      </c>
      <c r="G39" s="47"/>
      <c r="H39" s="47"/>
      <c r="I39" s="47"/>
      <c r="J39" s="47">
        <f>+J40</f>
        <v>7139.52</v>
      </c>
      <c r="K39" s="47">
        <f t="shared" si="4"/>
        <v>-2438.7400000000007</v>
      </c>
      <c r="L39" s="47">
        <f>+L40</f>
        <v>4700.78</v>
      </c>
      <c r="M39" s="47"/>
      <c r="N39" s="47"/>
      <c r="O39" s="47"/>
      <c r="P39" s="55"/>
    </row>
    <row r="40" spans="1:16" s="80" customFormat="1" ht="14.45" x14ac:dyDescent="0.3">
      <c r="A40" s="45">
        <v>32</v>
      </c>
      <c r="B40" s="53"/>
      <c r="C40" s="53"/>
      <c r="D40" s="46" t="s">
        <v>40</v>
      </c>
      <c r="E40" s="95"/>
      <c r="F40" s="47">
        <v>523.62</v>
      </c>
      <c r="G40" s="47"/>
      <c r="H40" s="47"/>
      <c r="I40" s="47"/>
      <c r="J40" s="47">
        <v>7139.52</v>
      </c>
      <c r="K40" s="47">
        <f t="shared" si="4"/>
        <v>-2438.7400000000007</v>
      </c>
      <c r="L40" s="47">
        <v>4700.78</v>
      </c>
      <c r="M40" s="47"/>
      <c r="N40" s="47"/>
      <c r="O40" s="47"/>
      <c r="P40" s="55"/>
    </row>
    <row r="41" spans="1:16" ht="14.45" x14ac:dyDescent="0.3">
      <c r="A41" s="45">
        <v>4</v>
      </c>
      <c r="B41" s="52"/>
      <c r="C41" s="52"/>
      <c r="D41" s="46" t="s">
        <v>5</v>
      </c>
      <c r="E41" s="47">
        <f>+E42</f>
        <v>7724.19</v>
      </c>
      <c r="F41" s="47">
        <f>+F42</f>
        <v>9.9600000000000009</v>
      </c>
      <c r="G41" s="47">
        <f t="shared" ref="G41:M41" si="55">+G42</f>
        <v>80500</v>
      </c>
      <c r="H41" s="47">
        <f t="shared" ref="H41" si="56">+G41/7.5345</f>
        <v>10684.186077377397</v>
      </c>
      <c r="I41" s="47">
        <f t="shared" si="55"/>
        <v>12055.2</v>
      </c>
      <c r="J41" s="47">
        <f>+J42</f>
        <v>100</v>
      </c>
      <c r="K41" s="47">
        <f t="shared" si="4"/>
        <v>3497.48</v>
      </c>
      <c r="L41" s="47">
        <f>+L42</f>
        <v>3597.48</v>
      </c>
      <c r="M41" s="47">
        <f t="shared" si="55"/>
        <v>2260.35</v>
      </c>
      <c r="N41" s="47">
        <f t="shared" ref="N41" si="57">+M41/7.5345</f>
        <v>299.99999999999994</v>
      </c>
      <c r="O41" s="47">
        <f>+O42</f>
        <v>2260.35</v>
      </c>
      <c r="P41" s="55">
        <f t="shared" ref="P41" si="58">+O41/7.5345</f>
        <v>299.99999999999994</v>
      </c>
    </row>
    <row r="42" spans="1:16" ht="14.45" x14ac:dyDescent="0.3">
      <c r="A42" s="45">
        <v>42</v>
      </c>
      <c r="B42" s="52"/>
      <c r="C42" s="52"/>
      <c r="D42" s="49" t="s">
        <v>115</v>
      </c>
      <c r="E42" s="47">
        <v>7724.19</v>
      </c>
      <c r="F42" s="47">
        <v>9.9600000000000009</v>
      </c>
      <c r="G42" s="47">
        <v>80500</v>
      </c>
      <c r="H42" s="47">
        <f t="shared" ref="H42" si="59">+G42/7.5345</f>
        <v>10684.186077377397</v>
      </c>
      <c r="I42" s="47">
        <v>12055.2</v>
      </c>
      <c r="J42" s="47">
        <v>100</v>
      </c>
      <c r="K42" s="47">
        <f t="shared" si="4"/>
        <v>3497.48</v>
      </c>
      <c r="L42" s="47">
        <v>3597.48</v>
      </c>
      <c r="M42" s="47">
        <v>2260.35</v>
      </c>
      <c r="N42" s="47">
        <f t="shared" ref="N42" si="60">+M42/7.5345</f>
        <v>299.99999999999994</v>
      </c>
      <c r="O42" s="47">
        <v>2260.35</v>
      </c>
      <c r="P42" s="55">
        <f t="shared" ref="P42" si="61">+O42/7.5345</f>
        <v>299.99999999999994</v>
      </c>
    </row>
    <row r="43" spans="1:16" s="80" customFormat="1" ht="14.45" hidden="1" x14ac:dyDescent="0.3">
      <c r="A43" s="125">
        <v>62400</v>
      </c>
      <c r="B43" s="126"/>
      <c r="C43" s="133"/>
      <c r="D43" s="71" t="s">
        <v>83</v>
      </c>
      <c r="E43" s="82">
        <v>10000</v>
      </c>
      <c r="F43" s="82">
        <f>+F44</f>
        <v>0</v>
      </c>
      <c r="G43" s="82">
        <v>0</v>
      </c>
      <c r="H43" s="82">
        <f t="shared" ref="H43" si="62">+G43/7.5345</f>
        <v>0</v>
      </c>
      <c r="I43" s="82">
        <v>0</v>
      </c>
      <c r="J43" s="82">
        <f>SUM(J44:J45)</f>
        <v>0</v>
      </c>
      <c r="K43" s="82">
        <f t="shared" si="4"/>
        <v>0</v>
      </c>
      <c r="L43" s="82">
        <f>SUM(L44:L45)</f>
        <v>0</v>
      </c>
      <c r="M43" s="82">
        <v>0</v>
      </c>
      <c r="N43" s="82">
        <f t="shared" ref="N43" si="63">+M43/7.5345</f>
        <v>0</v>
      </c>
      <c r="O43" s="82">
        <v>0</v>
      </c>
      <c r="P43" s="83">
        <f t="shared" ref="P43" si="64">+O43/7.5345</f>
        <v>0</v>
      </c>
    </row>
    <row r="44" spans="1:16" ht="14.45" hidden="1" x14ac:dyDescent="0.3">
      <c r="A44" s="45">
        <v>3</v>
      </c>
      <c r="B44" s="52"/>
      <c r="C44" s="52"/>
      <c r="D44" s="46" t="s">
        <v>22</v>
      </c>
      <c r="E44" s="47">
        <v>10000</v>
      </c>
      <c r="F44" s="47">
        <f>+F45</f>
        <v>0</v>
      </c>
      <c r="G44" s="47">
        <v>0</v>
      </c>
      <c r="H44" s="47">
        <f t="shared" ref="H44" si="65">+G44/7.5345</f>
        <v>0</v>
      </c>
      <c r="I44" s="47">
        <v>0</v>
      </c>
      <c r="J44" s="47">
        <v>0</v>
      </c>
      <c r="K44" s="47">
        <f t="shared" si="4"/>
        <v>0</v>
      </c>
      <c r="L44" s="47">
        <v>0</v>
      </c>
      <c r="M44" s="47">
        <v>0</v>
      </c>
      <c r="N44" s="47">
        <f t="shared" ref="N44" si="66">+M44/7.5345</f>
        <v>0</v>
      </c>
      <c r="O44" s="47">
        <v>0</v>
      </c>
      <c r="P44" s="55">
        <f t="shared" ref="P44" si="67">+O44/7.5345</f>
        <v>0</v>
      </c>
    </row>
    <row r="45" spans="1:16" ht="14.45" hidden="1" x14ac:dyDescent="0.3">
      <c r="A45" s="45">
        <v>32</v>
      </c>
      <c r="B45" s="52"/>
      <c r="C45" s="52"/>
      <c r="D45" s="46" t="s">
        <v>40</v>
      </c>
      <c r="E45" s="47">
        <v>10000</v>
      </c>
      <c r="F45" s="47">
        <v>0</v>
      </c>
      <c r="G45" s="47">
        <v>0</v>
      </c>
      <c r="H45" s="47">
        <f t="shared" ref="H45" si="68">+G45/7.5345</f>
        <v>0</v>
      </c>
      <c r="I45" s="47">
        <v>0</v>
      </c>
      <c r="J45" s="47">
        <v>0</v>
      </c>
      <c r="K45" s="47">
        <f t="shared" si="4"/>
        <v>0</v>
      </c>
      <c r="L45" s="47">
        <v>0</v>
      </c>
      <c r="M45" s="47">
        <v>0</v>
      </c>
      <c r="N45" s="47">
        <f t="shared" ref="N45" si="69">+M45/7.5345</f>
        <v>0</v>
      </c>
      <c r="O45" s="47">
        <v>0</v>
      </c>
      <c r="P45" s="55">
        <f t="shared" ref="P45" si="70">+O45/7.5345</f>
        <v>0</v>
      </c>
    </row>
    <row r="46" spans="1:16" s="80" customFormat="1" x14ac:dyDescent="0.25">
      <c r="A46" s="127" t="s">
        <v>84</v>
      </c>
      <c r="B46" s="128"/>
      <c r="C46" s="132"/>
      <c r="D46" s="69" t="s">
        <v>85</v>
      </c>
      <c r="E46" s="82">
        <f>+E47</f>
        <v>4680433.4400000004</v>
      </c>
      <c r="F46" s="82">
        <f>+F47</f>
        <v>625806.15</v>
      </c>
      <c r="G46" s="82">
        <f t="shared" ref="G46:O46" si="71">+G47</f>
        <v>4678510</v>
      </c>
      <c r="H46" s="82">
        <f t="shared" ref="H46" si="72">+G46/7.5345</f>
        <v>620944.98639591213</v>
      </c>
      <c r="I46" s="82">
        <f t="shared" si="71"/>
        <v>4887780.84</v>
      </c>
      <c r="J46" s="82">
        <f>+J47</f>
        <v>648720</v>
      </c>
      <c r="K46" s="82">
        <f t="shared" si="4"/>
        <v>85380</v>
      </c>
      <c r="L46" s="82">
        <f>+L47</f>
        <v>734100</v>
      </c>
      <c r="M46" s="82">
        <f t="shared" si="71"/>
        <v>4887780.84</v>
      </c>
      <c r="N46" s="82">
        <f t="shared" ref="N46" si="73">+M46/7.5345</f>
        <v>648720</v>
      </c>
      <c r="O46" s="82">
        <f t="shared" si="71"/>
        <v>4887780.84</v>
      </c>
      <c r="P46" s="83">
        <f t="shared" ref="P46" si="74">+O46/7.5345</f>
        <v>648720</v>
      </c>
    </row>
    <row r="47" spans="1:16" s="80" customFormat="1" x14ac:dyDescent="0.25">
      <c r="A47" s="125">
        <v>53082</v>
      </c>
      <c r="B47" s="126"/>
      <c r="C47" s="133"/>
      <c r="D47" s="71" t="s">
        <v>86</v>
      </c>
      <c r="E47" s="82">
        <v>4680433.4400000004</v>
      </c>
      <c r="F47" s="82">
        <f>+F48</f>
        <v>625806.15</v>
      </c>
      <c r="G47" s="82">
        <v>4678510</v>
      </c>
      <c r="H47" s="82">
        <f t="shared" ref="H47" si="75">+G47/7.5345</f>
        <v>620944.98639591213</v>
      </c>
      <c r="I47" s="82">
        <v>4887780.84</v>
      </c>
      <c r="J47" s="82">
        <f>+J48</f>
        <v>648720</v>
      </c>
      <c r="K47" s="82">
        <f t="shared" si="4"/>
        <v>85380</v>
      </c>
      <c r="L47" s="82">
        <f>+L48</f>
        <v>734100</v>
      </c>
      <c r="M47" s="82">
        <v>4887780.84</v>
      </c>
      <c r="N47" s="82">
        <f t="shared" ref="N47" si="76">+M47/7.5345</f>
        <v>648720</v>
      </c>
      <c r="O47" s="82">
        <v>4887780.84</v>
      </c>
      <c r="P47" s="83">
        <f t="shared" ref="P47" si="77">+O47/7.5345</f>
        <v>648720</v>
      </c>
    </row>
    <row r="48" spans="1:16" x14ac:dyDescent="0.25">
      <c r="A48" s="45">
        <v>3</v>
      </c>
      <c r="B48" s="52"/>
      <c r="C48" s="52"/>
      <c r="D48" s="46" t="s">
        <v>22</v>
      </c>
      <c r="E48" s="47">
        <v>4680433.4400000004</v>
      </c>
      <c r="F48" s="47">
        <f>+F49+F50+F50</f>
        <v>625806.15</v>
      </c>
      <c r="G48" s="47">
        <v>4678510</v>
      </c>
      <c r="H48" s="47">
        <f t="shared" ref="H48" si="78">+G48/7.5345</f>
        <v>620944.98639591213</v>
      </c>
      <c r="I48" s="47">
        <v>4887780.84</v>
      </c>
      <c r="J48" s="47">
        <f>+J49+J50+J50</f>
        <v>648720</v>
      </c>
      <c r="K48" s="47">
        <f t="shared" si="4"/>
        <v>85380</v>
      </c>
      <c r="L48" s="47">
        <f>SUM(L49:L50)</f>
        <v>734100</v>
      </c>
      <c r="M48" s="47">
        <v>4887780.84</v>
      </c>
      <c r="N48" s="47">
        <f t="shared" ref="N48" si="79">+M48/7.5345</f>
        <v>648720</v>
      </c>
      <c r="O48" s="47">
        <v>4887780.84</v>
      </c>
      <c r="P48" s="55">
        <f t="shared" ref="P48" si="80">+O48/7.5345</f>
        <v>648720</v>
      </c>
    </row>
    <row r="49" spans="1:16" x14ac:dyDescent="0.25">
      <c r="A49" s="45">
        <v>31</v>
      </c>
      <c r="B49" s="52"/>
      <c r="C49" s="52"/>
      <c r="D49" s="46" t="s">
        <v>25</v>
      </c>
      <c r="E49" s="47">
        <v>4590543.1100000003</v>
      </c>
      <c r="F49" s="47">
        <v>625806.15</v>
      </c>
      <c r="G49" s="47">
        <v>4637330</v>
      </c>
      <c r="H49" s="47">
        <f t="shared" ref="H49" si="81">+G49/7.5345</f>
        <v>615479.46114539786</v>
      </c>
      <c r="I49" s="47">
        <v>4887780.84</v>
      </c>
      <c r="J49" s="47">
        <v>648720</v>
      </c>
      <c r="K49" s="47">
        <f t="shared" si="4"/>
        <v>82280</v>
      </c>
      <c r="L49" s="47">
        <v>731000</v>
      </c>
      <c r="M49" s="47">
        <v>4887780.84</v>
      </c>
      <c r="N49" s="47">
        <f t="shared" ref="N49" si="82">+M49/7.5345</f>
        <v>648720</v>
      </c>
      <c r="O49" s="47">
        <v>4887780.84</v>
      </c>
      <c r="P49" s="55">
        <f t="shared" ref="P49" si="83">+O49/7.5345</f>
        <v>648720</v>
      </c>
    </row>
    <row r="50" spans="1:16" ht="13.9" customHeight="1" x14ac:dyDescent="0.25">
      <c r="A50" s="45">
        <v>32</v>
      </c>
      <c r="B50" s="52"/>
      <c r="C50" s="52"/>
      <c r="D50" s="46" t="s">
        <v>40</v>
      </c>
      <c r="E50" s="47">
        <v>49408.12</v>
      </c>
      <c r="F50" s="50">
        <v>0</v>
      </c>
      <c r="G50" s="50">
        <v>29380</v>
      </c>
      <c r="H50" s="50">
        <f t="shared" ref="H50" si="84">+G50/7.5345</f>
        <v>3899.3961112217135</v>
      </c>
      <c r="I50" s="50">
        <v>0</v>
      </c>
      <c r="J50" s="50">
        <v>0</v>
      </c>
      <c r="K50" s="50">
        <f t="shared" si="4"/>
        <v>3100</v>
      </c>
      <c r="L50" s="50">
        <v>3100</v>
      </c>
      <c r="M50" s="50">
        <v>0</v>
      </c>
      <c r="N50" s="50">
        <f t="shared" ref="N50" si="85">+M50/7.5345</f>
        <v>0</v>
      </c>
      <c r="O50" s="50">
        <v>0</v>
      </c>
      <c r="P50" s="56">
        <f t="shared" ref="P50" si="86">+O50/7.5345</f>
        <v>0</v>
      </c>
    </row>
    <row r="51" spans="1:16" ht="14.45" hidden="1" x14ac:dyDescent="0.3">
      <c r="A51" s="45">
        <v>34</v>
      </c>
      <c r="B51" s="52"/>
      <c r="C51" s="52"/>
      <c r="D51" s="46" t="s">
        <v>76</v>
      </c>
      <c r="E51" s="50">
        <v>40482.21</v>
      </c>
      <c r="F51" s="50">
        <v>0</v>
      </c>
      <c r="G51" s="50">
        <v>11800</v>
      </c>
      <c r="H51" s="50">
        <f t="shared" ref="H51" si="87">+G51/7.5345</f>
        <v>1566.1291392925873</v>
      </c>
      <c r="I51" s="50">
        <v>0</v>
      </c>
      <c r="J51" s="50">
        <v>0</v>
      </c>
      <c r="K51" s="50">
        <f t="shared" si="4"/>
        <v>0</v>
      </c>
      <c r="L51" s="50">
        <v>0</v>
      </c>
      <c r="M51" s="50">
        <v>0</v>
      </c>
      <c r="N51" s="50">
        <f t="shared" ref="N51" si="88">+M51/7.5345</f>
        <v>0</v>
      </c>
      <c r="O51" s="50">
        <v>0</v>
      </c>
      <c r="P51" s="56">
        <f t="shared" ref="P51" si="89">+O51/7.5345</f>
        <v>0</v>
      </c>
    </row>
    <row r="52" spans="1:16" ht="16.5" x14ac:dyDescent="0.25">
      <c r="A52" s="129">
        <v>2301</v>
      </c>
      <c r="B52" s="130"/>
      <c r="C52" s="131"/>
      <c r="D52" s="69" t="s">
        <v>87</v>
      </c>
      <c r="E52" s="70">
        <f>+E53+E57+E66+E70+E86+E90</f>
        <v>284866.75</v>
      </c>
      <c r="F52" s="70">
        <f>+F53+F57+F66+F70+F86+F90+F62</f>
        <v>44500.729999999996</v>
      </c>
      <c r="G52" s="70">
        <f>+G53+G57+G66+G70+G86+G90</f>
        <v>1461524</v>
      </c>
      <c r="H52" s="70">
        <f t="shared" ref="H52" si="90">+G52/7.5345</f>
        <v>193977.5698453779</v>
      </c>
      <c r="I52" s="70">
        <f>+I53+I57+I66+I70+I86+I90</f>
        <v>1356891.3000000003</v>
      </c>
      <c r="J52" s="70">
        <f>+J53+J57+J66+J70+J86+J90+J62</f>
        <v>265542.02</v>
      </c>
      <c r="K52" s="70">
        <f t="shared" si="4"/>
        <v>-3924.5799999999581</v>
      </c>
      <c r="L52" s="70">
        <f>+L53+L57+L66+L70+L86+L90+L62</f>
        <v>261617.44000000006</v>
      </c>
      <c r="M52" s="70">
        <f>+M53+M57+M66+M70+M86+M90</f>
        <v>32571.64</v>
      </c>
      <c r="N52" s="70">
        <f t="shared" ref="N52" si="91">+M52/7.5345</f>
        <v>4322.9995354701705</v>
      </c>
      <c r="O52" s="70">
        <f>+O53+O57+O66+O70+O86+O90</f>
        <v>32571.64</v>
      </c>
      <c r="P52" s="85">
        <f t="shared" ref="P52" si="92">+O52/7.5345</f>
        <v>4322.9995354701705</v>
      </c>
    </row>
    <row r="53" spans="1:16" s="80" customFormat="1" x14ac:dyDescent="0.25">
      <c r="A53" s="127" t="s">
        <v>88</v>
      </c>
      <c r="B53" s="128"/>
      <c r="C53" s="132"/>
      <c r="D53" s="71" t="s">
        <v>89</v>
      </c>
      <c r="E53" s="82">
        <f>+E54</f>
        <v>0</v>
      </c>
      <c r="F53" s="82">
        <f>+F54</f>
        <v>2470.5</v>
      </c>
      <c r="G53" s="82">
        <f t="shared" ref="G53:O53" si="93">+G54</f>
        <v>22570</v>
      </c>
      <c r="H53" s="82">
        <f t="shared" ref="H53" si="94">+G53/7.5345</f>
        <v>2995.55378591811</v>
      </c>
      <c r="I53" s="82">
        <f t="shared" si="93"/>
        <v>22573.360000000001</v>
      </c>
      <c r="J53" s="82">
        <f>+J54</f>
        <v>8112.01</v>
      </c>
      <c r="K53" s="82">
        <f t="shared" si="4"/>
        <v>-7492.16</v>
      </c>
      <c r="L53" s="82">
        <f>+L54</f>
        <v>619.85</v>
      </c>
      <c r="M53" s="82">
        <f t="shared" si="93"/>
        <v>22573.360000000001</v>
      </c>
      <c r="N53" s="82">
        <f t="shared" ref="N53" si="95">+M53/7.5345</f>
        <v>2995.9997345543829</v>
      </c>
      <c r="O53" s="82">
        <f t="shared" si="93"/>
        <v>22573.360000000001</v>
      </c>
      <c r="P53" s="83">
        <f t="shared" ref="P53" si="96">+O53/7.5345</f>
        <v>2995.9997345543829</v>
      </c>
    </row>
    <row r="54" spans="1:16" s="80" customFormat="1" x14ac:dyDescent="0.25">
      <c r="A54" s="125">
        <v>11001</v>
      </c>
      <c r="B54" s="126"/>
      <c r="C54" s="133"/>
      <c r="D54" s="71" t="s">
        <v>90</v>
      </c>
      <c r="E54" s="82">
        <v>0</v>
      </c>
      <c r="F54" s="82">
        <f>+F55</f>
        <v>2470.5</v>
      </c>
      <c r="G54" s="82">
        <v>22570</v>
      </c>
      <c r="H54" s="82">
        <f t="shared" ref="H54" si="97">+G54/7.5345</f>
        <v>2995.55378591811</v>
      </c>
      <c r="I54" s="82">
        <v>22573.360000000001</v>
      </c>
      <c r="J54" s="82">
        <f>+J55</f>
        <v>8112.01</v>
      </c>
      <c r="K54" s="82">
        <f t="shared" si="4"/>
        <v>-7492.16</v>
      </c>
      <c r="L54" s="82">
        <f>+L55</f>
        <v>619.85</v>
      </c>
      <c r="M54" s="82">
        <v>22573.360000000001</v>
      </c>
      <c r="N54" s="82">
        <f t="shared" ref="N54" si="98">+M54/7.5345</f>
        <v>2995.9997345543829</v>
      </c>
      <c r="O54" s="82">
        <v>22573.360000000001</v>
      </c>
      <c r="P54" s="83">
        <f t="shared" ref="P54" si="99">+O54/7.5345</f>
        <v>2995.9997345543829</v>
      </c>
    </row>
    <row r="55" spans="1:16" x14ac:dyDescent="0.25">
      <c r="A55" s="45">
        <v>3</v>
      </c>
      <c r="B55" s="52"/>
      <c r="C55" s="52"/>
      <c r="D55" s="46" t="s">
        <v>22</v>
      </c>
      <c r="E55" s="47">
        <v>0</v>
      </c>
      <c r="F55" s="47">
        <f>+F56</f>
        <v>2470.5</v>
      </c>
      <c r="G55" s="47">
        <v>22570</v>
      </c>
      <c r="H55" s="47">
        <f t="shared" ref="H55" si="100">+G55/7.5345</f>
        <v>2995.55378591811</v>
      </c>
      <c r="I55" s="47">
        <v>22573.360000000001</v>
      </c>
      <c r="J55" s="47">
        <f>+J56</f>
        <v>8112.01</v>
      </c>
      <c r="K55" s="47">
        <f t="shared" si="4"/>
        <v>-7492.16</v>
      </c>
      <c r="L55" s="47">
        <f>+L56</f>
        <v>619.85</v>
      </c>
      <c r="M55" s="47">
        <v>22573.360000000001</v>
      </c>
      <c r="N55" s="47">
        <f t="shared" ref="N55" si="101">+M55/7.5345</f>
        <v>2995.9997345543829</v>
      </c>
      <c r="O55" s="47">
        <v>22573.360000000001</v>
      </c>
      <c r="P55" s="55">
        <f t="shared" ref="P55" si="102">+O55/7.5345</f>
        <v>2995.9997345543829</v>
      </c>
    </row>
    <row r="56" spans="1:16" x14ac:dyDescent="0.25">
      <c r="A56" s="45">
        <v>32</v>
      </c>
      <c r="B56" s="52"/>
      <c r="C56" s="52"/>
      <c r="D56" s="46" t="s">
        <v>40</v>
      </c>
      <c r="E56" s="47">
        <v>0</v>
      </c>
      <c r="F56" s="47">
        <v>2470.5</v>
      </c>
      <c r="G56" s="47">
        <v>22570</v>
      </c>
      <c r="H56" s="47">
        <f t="shared" ref="H56" si="103">+G56/7.5345</f>
        <v>2995.55378591811</v>
      </c>
      <c r="I56" s="47">
        <v>22573.360000000001</v>
      </c>
      <c r="J56" s="47">
        <v>8112.01</v>
      </c>
      <c r="K56" s="47">
        <f t="shared" si="4"/>
        <v>-7492.16</v>
      </c>
      <c r="L56" s="47">
        <v>619.85</v>
      </c>
      <c r="M56" s="47">
        <v>22573.360000000001</v>
      </c>
      <c r="N56" s="47">
        <f t="shared" ref="N56" si="104">+M56/7.5345</f>
        <v>2995.9997345543829</v>
      </c>
      <c r="O56" s="47">
        <v>22573.360000000001</v>
      </c>
      <c r="P56" s="55">
        <f t="shared" ref="P56" si="105">+O56/7.5345</f>
        <v>2995.9997345543829</v>
      </c>
    </row>
    <row r="57" spans="1:16" s="80" customFormat="1" x14ac:dyDescent="0.25">
      <c r="A57" s="127" t="s">
        <v>91</v>
      </c>
      <c r="B57" s="128"/>
      <c r="C57" s="132"/>
      <c r="D57" s="72" t="s">
        <v>92</v>
      </c>
      <c r="E57" s="82">
        <f>+E58</f>
        <v>23738.48</v>
      </c>
      <c r="F57" s="82">
        <f>+F58</f>
        <v>0</v>
      </c>
      <c r="G57" s="82">
        <f t="shared" ref="G57:O57" si="106">+G58</f>
        <v>0</v>
      </c>
      <c r="H57" s="82">
        <f t="shared" ref="H57" si="107">+G57/7.5345</f>
        <v>0</v>
      </c>
      <c r="I57" s="82">
        <f t="shared" si="106"/>
        <v>0</v>
      </c>
      <c r="J57" s="82">
        <f>+J58</f>
        <v>0</v>
      </c>
      <c r="K57" s="82">
        <f t="shared" si="4"/>
        <v>0</v>
      </c>
      <c r="L57" s="82">
        <f>+L58</f>
        <v>0</v>
      </c>
      <c r="M57" s="82">
        <f t="shared" si="106"/>
        <v>0</v>
      </c>
      <c r="N57" s="82">
        <f t="shared" ref="N57" si="108">+M57/7.5345</f>
        <v>0</v>
      </c>
      <c r="O57" s="82">
        <f t="shared" si="106"/>
        <v>0</v>
      </c>
      <c r="P57" s="83">
        <f t="shared" ref="P57" si="109">+O57/7.5345</f>
        <v>0</v>
      </c>
    </row>
    <row r="58" spans="1:16" s="80" customFormat="1" x14ac:dyDescent="0.25">
      <c r="A58" s="125">
        <v>11001</v>
      </c>
      <c r="B58" s="126"/>
      <c r="C58" s="133"/>
      <c r="D58" s="71" t="s">
        <v>90</v>
      </c>
      <c r="E58" s="82">
        <v>23738.48</v>
      </c>
      <c r="F58" s="82">
        <f>+F59</f>
        <v>0</v>
      </c>
      <c r="G58" s="82">
        <v>0</v>
      </c>
      <c r="H58" s="82">
        <f t="shared" ref="H58" si="110">+G58/7.5345</f>
        <v>0</v>
      </c>
      <c r="I58" s="82">
        <v>0</v>
      </c>
      <c r="J58" s="82">
        <f>+J59</f>
        <v>0</v>
      </c>
      <c r="K58" s="82">
        <f t="shared" si="4"/>
        <v>0</v>
      </c>
      <c r="L58" s="82">
        <f>+L59</f>
        <v>0</v>
      </c>
      <c r="M58" s="82">
        <v>0</v>
      </c>
      <c r="N58" s="82">
        <f t="shared" ref="N58" si="111">+M58/7.5345</f>
        <v>0</v>
      </c>
      <c r="O58" s="82">
        <v>0</v>
      </c>
      <c r="P58" s="83">
        <f t="shared" ref="P58" si="112">+O58/7.5345</f>
        <v>0</v>
      </c>
    </row>
    <row r="59" spans="1:16" x14ac:dyDescent="0.25">
      <c r="A59" s="45">
        <v>3</v>
      </c>
      <c r="B59" s="52"/>
      <c r="C59" s="52"/>
      <c r="D59" s="46" t="s">
        <v>22</v>
      </c>
      <c r="E59" s="47">
        <v>23738.48</v>
      </c>
      <c r="F59" s="47">
        <f>SUM(F60:F61)</f>
        <v>0</v>
      </c>
      <c r="G59" s="47">
        <v>0</v>
      </c>
      <c r="H59" s="47">
        <f t="shared" ref="H59" si="113">+G59/7.5345</f>
        <v>0</v>
      </c>
      <c r="I59" s="47">
        <v>0</v>
      </c>
      <c r="J59" s="47">
        <f>SUM(J60:J61)</f>
        <v>0</v>
      </c>
      <c r="K59" s="47">
        <f t="shared" si="4"/>
        <v>0</v>
      </c>
      <c r="L59" s="47">
        <f>SUM(L60:L61)</f>
        <v>0</v>
      </c>
      <c r="M59" s="47">
        <v>0</v>
      </c>
      <c r="N59" s="47">
        <f t="shared" ref="N59" si="114">+M59/7.5345</f>
        <v>0</v>
      </c>
      <c r="O59" s="47">
        <v>0</v>
      </c>
      <c r="P59" s="55">
        <f t="shared" ref="P59" si="115">+O59/7.5345</f>
        <v>0</v>
      </c>
    </row>
    <row r="60" spans="1:16" x14ac:dyDescent="0.25">
      <c r="A60" s="45">
        <v>31</v>
      </c>
      <c r="B60" s="52"/>
      <c r="C60" s="52"/>
      <c r="D60" s="46" t="s">
        <v>25</v>
      </c>
      <c r="E60" s="47">
        <v>22694.68</v>
      </c>
      <c r="F60" s="47">
        <v>0</v>
      </c>
      <c r="G60" s="47">
        <v>0</v>
      </c>
      <c r="H60" s="47">
        <f t="shared" ref="H60" si="116">+G60/7.5345</f>
        <v>0</v>
      </c>
      <c r="I60" s="47">
        <v>0</v>
      </c>
      <c r="J60" s="47">
        <v>0</v>
      </c>
      <c r="K60" s="47">
        <f t="shared" si="4"/>
        <v>0</v>
      </c>
      <c r="L60" s="47">
        <v>0</v>
      </c>
      <c r="M60" s="47">
        <v>0</v>
      </c>
      <c r="N60" s="47">
        <f t="shared" ref="N60" si="117">+M60/7.5345</f>
        <v>0</v>
      </c>
      <c r="O60" s="47">
        <v>0</v>
      </c>
      <c r="P60" s="55">
        <f t="shared" ref="P60" si="118">+O60/7.5345</f>
        <v>0</v>
      </c>
    </row>
    <row r="61" spans="1:16" x14ac:dyDescent="0.25">
      <c r="A61" s="45">
        <v>32</v>
      </c>
      <c r="B61" s="52"/>
      <c r="C61" s="52"/>
      <c r="D61" s="50" t="s">
        <v>40</v>
      </c>
      <c r="E61" s="47">
        <v>1043.8</v>
      </c>
      <c r="F61" s="47">
        <v>0</v>
      </c>
      <c r="G61" s="47">
        <v>0</v>
      </c>
      <c r="H61" s="47">
        <f t="shared" ref="H61:H65" si="119">+G61/7.5345</f>
        <v>0</v>
      </c>
      <c r="I61" s="47">
        <v>0</v>
      </c>
      <c r="J61" s="47">
        <v>0</v>
      </c>
      <c r="K61" s="47">
        <f t="shared" si="4"/>
        <v>0</v>
      </c>
      <c r="L61" s="47">
        <v>0</v>
      </c>
      <c r="M61" s="47">
        <v>0</v>
      </c>
      <c r="N61" s="47">
        <f t="shared" ref="N61" si="120">+M61/7.5345</f>
        <v>0</v>
      </c>
      <c r="O61" s="47">
        <v>0</v>
      </c>
      <c r="P61" s="55">
        <f t="shared" ref="P61" si="121">+O61/7.5345</f>
        <v>0</v>
      </c>
    </row>
    <row r="62" spans="1:16" s="80" customFormat="1" x14ac:dyDescent="0.25">
      <c r="A62" s="127" t="s">
        <v>128</v>
      </c>
      <c r="B62" s="128"/>
      <c r="C62" s="132"/>
      <c r="D62" s="71" t="s">
        <v>129</v>
      </c>
      <c r="E62" s="82">
        <f>+E63</f>
        <v>0</v>
      </c>
      <c r="F62" s="82">
        <f>+F63</f>
        <v>0</v>
      </c>
      <c r="G62" s="82">
        <f t="shared" ref="G62:I62" si="122">+G63</f>
        <v>22570</v>
      </c>
      <c r="H62" s="82">
        <f t="shared" si="119"/>
        <v>2995.55378591811</v>
      </c>
      <c r="I62" s="82">
        <f t="shared" si="122"/>
        <v>22573.360000000001</v>
      </c>
      <c r="J62" s="82">
        <f>+J63</f>
        <v>26.57</v>
      </c>
      <c r="K62" s="82">
        <f t="shared" ref="K62" si="123">+L62-J62</f>
        <v>0</v>
      </c>
      <c r="L62" s="82">
        <f>+L63</f>
        <v>26.57</v>
      </c>
      <c r="M62" s="82">
        <f t="shared" ref="M62:P63" si="124">+M63</f>
        <v>22573.360000000001</v>
      </c>
      <c r="N62" s="82">
        <f t="shared" si="124"/>
        <v>0</v>
      </c>
      <c r="O62" s="82">
        <f t="shared" si="124"/>
        <v>22573.360000000001</v>
      </c>
      <c r="P62" s="83">
        <f t="shared" si="124"/>
        <v>0</v>
      </c>
    </row>
    <row r="63" spans="1:16" s="80" customFormat="1" x14ac:dyDescent="0.25">
      <c r="A63" s="125">
        <v>53082</v>
      </c>
      <c r="B63" s="126"/>
      <c r="C63" s="133"/>
      <c r="D63" s="71" t="s">
        <v>86</v>
      </c>
      <c r="E63" s="82">
        <v>0</v>
      </c>
      <c r="F63" s="82">
        <f>+F64</f>
        <v>0</v>
      </c>
      <c r="G63" s="82">
        <v>22570</v>
      </c>
      <c r="H63" s="82">
        <f t="shared" si="119"/>
        <v>2995.55378591811</v>
      </c>
      <c r="I63" s="82">
        <v>22573.360000000001</v>
      </c>
      <c r="J63" s="82">
        <f>+J64</f>
        <v>26.57</v>
      </c>
      <c r="K63" s="82">
        <f t="shared" ref="K63" si="125">+L63-J63</f>
        <v>0</v>
      </c>
      <c r="L63" s="82">
        <f>+L64</f>
        <v>26.57</v>
      </c>
      <c r="M63" s="82">
        <f t="shared" si="124"/>
        <v>22573.360000000001</v>
      </c>
      <c r="N63" s="82">
        <f t="shared" si="124"/>
        <v>0</v>
      </c>
      <c r="O63" s="82">
        <f t="shared" si="124"/>
        <v>22573.360000000001</v>
      </c>
      <c r="P63" s="83">
        <f t="shared" si="124"/>
        <v>0</v>
      </c>
    </row>
    <row r="64" spans="1:16" x14ac:dyDescent="0.25">
      <c r="A64" s="45">
        <v>3</v>
      </c>
      <c r="B64" s="52"/>
      <c r="C64" s="52"/>
      <c r="D64" s="46" t="s">
        <v>22</v>
      </c>
      <c r="E64" s="47">
        <v>0</v>
      </c>
      <c r="F64" s="47">
        <f>+F65</f>
        <v>0</v>
      </c>
      <c r="G64" s="47">
        <v>22570</v>
      </c>
      <c r="H64" s="47">
        <f t="shared" si="119"/>
        <v>2995.55378591811</v>
      </c>
      <c r="I64" s="47">
        <v>22573.360000000001</v>
      </c>
      <c r="J64" s="47">
        <f>+J65</f>
        <v>26.57</v>
      </c>
      <c r="K64" s="47">
        <f t="shared" ref="K64" si="126">+L64-J64</f>
        <v>0</v>
      </c>
      <c r="L64" s="47">
        <f>+L65</f>
        <v>26.57</v>
      </c>
      <c r="M64" s="47">
        <v>22573.360000000001</v>
      </c>
      <c r="N64" s="47">
        <v>0</v>
      </c>
      <c r="O64" s="47">
        <v>22573.360000000001</v>
      </c>
      <c r="P64" s="55">
        <v>0</v>
      </c>
    </row>
    <row r="65" spans="1:16" x14ac:dyDescent="0.25">
      <c r="A65" s="45">
        <v>32</v>
      </c>
      <c r="B65" s="52"/>
      <c r="C65" s="52"/>
      <c r="D65" s="46" t="s">
        <v>40</v>
      </c>
      <c r="E65" s="47">
        <v>0</v>
      </c>
      <c r="F65" s="47">
        <v>0</v>
      </c>
      <c r="G65" s="47">
        <v>22570</v>
      </c>
      <c r="H65" s="47">
        <f t="shared" si="119"/>
        <v>2995.55378591811</v>
      </c>
      <c r="I65" s="47">
        <v>22573.360000000001</v>
      </c>
      <c r="J65" s="47">
        <v>26.57</v>
      </c>
      <c r="K65" s="47">
        <f t="shared" si="4"/>
        <v>0</v>
      </c>
      <c r="L65" s="47">
        <v>26.57</v>
      </c>
      <c r="M65" s="47"/>
      <c r="N65" s="47">
        <v>0</v>
      </c>
      <c r="O65" s="47">
        <v>0</v>
      </c>
      <c r="P65" s="55">
        <v>0</v>
      </c>
    </row>
    <row r="66" spans="1:16" s="80" customFormat="1" x14ac:dyDescent="0.25">
      <c r="A66" s="127" t="s">
        <v>93</v>
      </c>
      <c r="B66" s="128"/>
      <c r="C66" s="132"/>
      <c r="D66" s="72" t="s">
        <v>94</v>
      </c>
      <c r="E66" s="82">
        <f>+E67</f>
        <v>919.5</v>
      </c>
      <c r="F66" s="82">
        <f>+F67</f>
        <v>101.67</v>
      </c>
      <c r="G66" s="82">
        <f t="shared" ref="G66:O66" si="127">+G67</f>
        <v>766</v>
      </c>
      <c r="H66" s="82">
        <f t="shared" ref="H66" si="128">+G66/7.5345</f>
        <v>101.66567124560355</v>
      </c>
      <c r="I66" s="82">
        <f t="shared" si="127"/>
        <v>0</v>
      </c>
      <c r="J66" s="82">
        <f>+J67</f>
        <v>0</v>
      </c>
      <c r="K66" s="82">
        <f t="shared" si="4"/>
        <v>0</v>
      </c>
      <c r="L66" s="82">
        <f>+L67</f>
        <v>0</v>
      </c>
      <c r="M66" s="82">
        <f t="shared" si="127"/>
        <v>0</v>
      </c>
      <c r="N66" s="82">
        <f t="shared" ref="N66" si="129">+M66/7.5345</f>
        <v>0</v>
      </c>
      <c r="O66" s="82">
        <f t="shared" si="127"/>
        <v>0</v>
      </c>
      <c r="P66" s="83">
        <f t="shared" ref="P66" si="130">+O66/7.5345</f>
        <v>0</v>
      </c>
    </row>
    <row r="67" spans="1:16" s="80" customFormat="1" x14ac:dyDescent="0.25">
      <c r="A67" s="125">
        <v>53080</v>
      </c>
      <c r="B67" s="126"/>
      <c r="C67" s="133"/>
      <c r="D67" s="71" t="s">
        <v>95</v>
      </c>
      <c r="E67" s="82">
        <v>919.5</v>
      </c>
      <c r="F67" s="82">
        <f>+F68</f>
        <v>101.67</v>
      </c>
      <c r="G67" s="82">
        <v>766</v>
      </c>
      <c r="H67" s="82">
        <f t="shared" ref="H67" si="131">+G67/7.5345</f>
        <v>101.66567124560355</v>
      </c>
      <c r="I67" s="82">
        <v>0</v>
      </c>
      <c r="J67" s="82">
        <f>SUM(J68:J69)</f>
        <v>0</v>
      </c>
      <c r="K67" s="82">
        <f t="shared" si="4"/>
        <v>0</v>
      </c>
      <c r="L67" s="82">
        <f>SUM(L68:L69)</f>
        <v>0</v>
      </c>
      <c r="M67" s="82">
        <v>0</v>
      </c>
      <c r="N67" s="82">
        <f t="shared" ref="N67" si="132">+M67/7.5345</f>
        <v>0</v>
      </c>
      <c r="O67" s="82">
        <v>0</v>
      </c>
      <c r="P67" s="83">
        <f t="shared" ref="P67" si="133">+O67/7.5345</f>
        <v>0</v>
      </c>
    </row>
    <row r="68" spans="1:16" x14ac:dyDescent="0.25">
      <c r="A68" s="87">
        <v>3</v>
      </c>
      <c r="B68" s="88"/>
      <c r="C68" s="88"/>
      <c r="D68" s="89" t="s">
        <v>22</v>
      </c>
      <c r="E68" s="90">
        <v>919.5</v>
      </c>
      <c r="F68" s="90">
        <f>+F69</f>
        <v>101.67</v>
      </c>
      <c r="G68" s="90">
        <v>766</v>
      </c>
      <c r="H68" s="90">
        <f t="shared" ref="H68" si="134">+G68/7.5345</f>
        <v>101.66567124560355</v>
      </c>
      <c r="I68" s="90">
        <v>0</v>
      </c>
      <c r="J68" s="90">
        <v>0</v>
      </c>
      <c r="K68" s="90">
        <f t="shared" si="4"/>
        <v>0</v>
      </c>
      <c r="L68" s="90">
        <v>0</v>
      </c>
      <c r="M68" s="90">
        <v>0</v>
      </c>
      <c r="N68" s="90">
        <f t="shared" ref="N68" si="135">+M68/7.5345</f>
        <v>0</v>
      </c>
      <c r="O68" s="90">
        <v>0</v>
      </c>
      <c r="P68" s="91">
        <f t="shared" ref="P68" si="136">+O68/7.5345</f>
        <v>0</v>
      </c>
    </row>
    <row r="69" spans="1:16" ht="13.9" customHeight="1" x14ac:dyDescent="0.25">
      <c r="A69" s="45">
        <v>32</v>
      </c>
      <c r="B69" s="52"/>
      <c r="C69" s="52"/>
      <c r="D69" s="46" t="s">
        <v>40</v>
      </c>
      <c r="E69" s="47">
        <v>919.5</v>
      </c>
      <c r="F69" s="47">
        <v>101.67</v>
      </c>
      <c r="G69" s="47">
        <v>766</v>
      </c>
      <c r="H69" s="47">
        <f t="shared" ref="H69" si="137">+G69/7.5345</f>
        <v>101.66567124560355</v>
      </c>
      <c r="I69" s="47">
        <v>0</v>
      </c>
      <c r="J69" s="47">
        <v>0</v>
      </c>
      <c r="K69" s="47">
        <f t="shared" si="4"/>
        <v>0</v>
      </c>
      <c r="L69" s="47">
        <v>0</v>
      </c>
      <c r="M69" s="47">
        <v>0</v>
      </c>
      <c r="N69" s="47">
        <f t="shared" ref="N69" si="138">+M69/7.5345</f>
        <v>0</v>
      </c>
      <c r="O69" s="47">
        <v>0</v>
      </c>
      <c r="P69" s="55">
        <f t="shared" ref="P69" si="139">+O69/7.5345</f>
        <v>0</v>
      </c>
    </row>
    <row r="70" spans="1:16" s="80" customFormat="1" x14ac:dyDescent="0.25">
      <c r="A70" s="127" t="s">
        <v>96</v>
      </c>
      <c r="B70" s="128"/>
      <c r="C70" s="132"/>
      <c r="D70" s="72" t="s">
        <v>97</v>
      </c>
      <c r="E70" s="82">
        <f>+E74+E79</f>
        <v>258304.77</v>
      </c>
      <c r="F70" s="82">
        <f>+F71+F74+F79</f>
        <v>40457.99</v>
      </c>
      <c r="G70" s="82">
        <f t="shared" ref="G70:K70" si="140">+G71+G74+G79</f>
        <v>1428188</v>
      </c>
      <c r="H70" s="82">
        <f t="shared" si="140"/>
        <v>189553.12230406795</v>
      </c>
      <c r="I70" s="82">
        <f t="shared" si="140"/>
        <v>1324319.6600000001</v>
      </c>
      <c r="J70" s="82">
        <f>+J71+J74+J79</f>
        <v>256076.21000000002</v>
      </c>
      <c r="K70" s="82">
        <f t="shared" si="140"/>
        <v>3567.580000000009</v>
      </c>
      <c r="L70" s="82">
        <f>+L71+L74+L79</f>
        <v>259643.79000000004</v>
      </c>
      <c r="M70" s="82">
        <f t="shared" ref="M70:O70" si="141">+M74+M79</f>
        <v>0</v>
      </c>
      <c r="N70" s="82">
        <f t="shared" ref="N70:N73" si="142">+M70/7.5345</f>
        <v>0</v>
      </c>
      <c r="O70" s="82">
        <f t="shared" si="141"/>
        <v>0</v>
      </c>
      <c r="P70" s="83">
        <f t="shared" ref="P70:P73" si="143">+O70/7.5345</f>
        <v>0</v>
      </c>
    </row>
    <row r="71" spans="1:16" s="80" customFormat="1" x14ac:dyDescent="0.25">
      <c r="A71" s="125">
        <v>11001</v>
      </c>
      <c r="B71" s="126"/>
      <c r="C71" s="78"/>
      <c r="D71" s="71" t="s">
        <v>90</v>
      </c>
      <c r="E71" s="82">
        <v>3250</v>
      </c>
      <c r="F71" s="82">
        <f>+F72</f>
        <v>0</v>
      </c>
      <c r="G71" s="82">
        <v>0</v>
      </c>
      <c r="H71" s="82">
        <f t="shared" ref="H71:H73" si="144">+G71/7.5345</f>
        <v>0</v>
      </c>
      <c r="I71" s="82">
        <v>0</v>
      </c>
      <c r="J71" s="82">
        <f>+J72</f>
        <v>29847.34</v>
      </c>
      <c r="K71" s="82">
        <f t="shared" si="4"/>
        <v>0</v>
      </c>
      <c r="L71" s="82">
        <f>+L72</f>
        <v>29847.34</v>
      </c>
      <c r="M71" s="82">
        <v>0</v>
      </c>
      <c r="N71" s="82">
        <f t="shared" si="142"/>
        <v>0</v>
      </c>
      <c r="O71" s="82">
        <v>0</v>
      </c>
      <c r="P71" s="83">
        <f t="shared" si="143"/>
        <v>0</v>
      </c>
    </row>
    <row r="72" spans="1:16" x14ac:dyDescent="0.25">
      <c r="A72" s="45">
        <v>4</v>
      </c>
      <c r="B72" s="52"/>
      <c r="C72" s="52"/>
      <c r="D72" s="46" t="s">
        <v>5</v>
      </c>
      <c r="E72" s="47">
        <v>3250</v>
      </c>
      <c r="F72" s="47">
        <f>+F73</f>
        <v>0</v>
      </c>
      <c r="G72" s="47">
        <v>0</v>
      </c>
      <c r="H72" s="47">
        <f t="shared" si="144"/>
        <v>0</v>
      </c>
      <c r="I72" s="47">
        <v>0</v>
      </c>
      <c r="J72" s="47">
        <f>+J73</f>
        <v>29847.34</v>
      </c>
      <c r="K72" s="47">
        <f t="shared" si="4"/>
        <v>0</v>
      </c>
      <c r="L72" s="47">
        <f>+L73</f>
        <v>29847.34</v>
      </c>
      <c r="M72" s="47">
        <v>0</v>
      </c>
      <c r="N72" s="47">
        <f t="shared" si="142"/>
        <v>0</v>
      </c>
      <c r="O72" s="47">
        <v>0</v>
      </c>
      <c r="P72" s="55">
        <f t="shared" si="143"/>
        <v>0</v>
      </c>
    </row>
    <row r="73" spans="1:16" x14ac:dyDescent="0.25">
      <c r="A73" s="45">
        <v>42</v>
      </c>
      <c r="B73" s="52"/>
      <c r="C73" s="52"/>
      <c r="D73" s="49" t="s">
        <v>115</v>
      </c>
      <c r="E73" s="50">
        <v>3250</v>
      </c>
      <c r="F73" s="50">
        <v>0</v>
      </c>
      <c r="G73" s="50">
        <v>0</v>
      </c>
      <c r="H73" s="50">
        <f t="shared" si="144"/>
        <v>0</v>
      </c>
      <c r="I73" s="50">
        <v>0</v>
      </c>
      <c r="J73" s="50">
        <v>29847.34</v>
      </c>
      <c r="K73" s="50">
        <f t="shared" si="4"/>
        <v>0</v>
      </c>
      <c r="L73" s="50">
        <v>29847.34</v>
      </c>
      <c r="M73" s="50">
        <v>0</v>
      </c>
      <c r="N73" s="50">
        <f t="shared" si="142"/>
        <v>0</v>
      </c>
      <c r="O73" s="50">
        <v>0</v>
      </c>
      <c r="P73" s="56">
        <f t="shared" si="143"/>
        <v>0</v>
      </c>
    </row>
    <row r="74" spans="1:16" s="80" customFormat="1" x14ac:dyDescent="0.25">
      <c r="A74" s="125">
        <v>51001</v>
      </c>
      <c r="B74" s="126"/>
      <c r="C74" s="133"/>
      <c r="D74" s="71" t="s">
        <v>98</v>
      </c>
      <c r="E74" s="82">
        <v>0</v>
      </c>
      <c r="F74" s="82">
        <f>+F75+F77</f>
        <v>0</v>
      </c>
      <c r="G74" s="82">
        <v>1124443</v>
      </c>
      <c r="H74" s="82">
        <f t="shared" ref="H74" si="145">+G74/7.5345</f>
        <v>149239.23286216735</v>
      </c>
      <c r="I74" s="82">
        <v>1005102.3</v>
      </c>
      <c r="J74" s="82">
        <f>+J75+J77</f>
        <v>179083.43000000002</v>
      </c>
      <c r="K74" s="82">
        <f t="shared" si="4"/>
        <v>0</v>
      </c>
      <c r="L74" s="82">
        <f>+L75+L77</f>
        <v>179083.43000000002</v>
      </c>
      <c r="M74" s="82">
        <v>0</v>
      </c>
      <c r="N74" s="82">
        <f t="shared" ref="N74" si="146">+M74/7.5345</f>
        <v>0</v>
      </c>
      <c r="O74" s="82">
        <v>0</v>
      </c>
      <c r="P74" s="83">
        <f t="shared" ref="P74" si="147">+O74/7.5345</f>
        <v>0</v>
      </c>
    </row>
    <row r="75" spans="1:16" x14ac:dyDescent="0.25">
      <c r="A75" s="45">
        <v>3</v>
      </c>
      <c r="B75" s="52"/>
      <c r="C75" s="52"/>
      <c r="D75" s="46" t="s">
        <v>22</v>
      </c>
      <c r="E75" s="47">
        <v>0</v>
      </c>
      <c r="F75" s="47">
        <f>+F76</f>
        <v>0</v>
      </c>
      <c r="G75" s="47">
        <v>51000</v>
      </c>
      <c r="H75" s="47">
        <f t="shared" ref="H75" si="148">+G75/7.5345</f>
        <v>6768.863229145928</v>
      </c>
      <c r="I75" s="47">
        <v>3013.8</v>
      </c>
      <c r="J75" s="47">
        <f>+J76</f>
        <v>2284.64</v>
      </c>
      <c r="K75" s="47">
        <f t="shared" si="4"/>
        <v>0</v>
      </c>
      <c r="L75" s="47">
        <f>+L76</f>
        <v>2284.64</v>
      </c>
      <c r="M75" s="47">
        <v>0</v>
      </c>
      <c r="N75" s="47">
        <f t="shared" ref="N75" si="149">+M75/7.5345</f>
        <v>0</v>
      </c>
      <c r="O75" s="47">
        <v>0</v>
      </c>
      <c r="P75" s="55">
        <f t="shared" ref="P75" si="150">+O75/7.5345</f>
        <v>0</v>
      </c>
    </row>
    <row r="76" spans="1:16" x14ac:dyDescent="0.25">
      <c r="A76" s="45">
        <v>32</v>
      </c>
      <c r="B76" s="52"/>
      <c r="C76" s="52"/>
      <c r="D76" s="46" t="s">
        <v>40</v>
      </c>
      <c r="E76" s="47">
        <v>0</v>
      </c>
      <c r="F76" s="47">
        <v>0</v>
      </c>
      <c r="G76" s="47">
        <v>51000</v>
      </c>
      <c r="H76" s="47">
        <f t="shared" ref="H76" si="151">+G76/7.5345</f>
        <v>6768.863229145928</v>
      </c>
      <c r="I76" s="47">
        <v>3013.8</v>
      </c>
      <c r="J76" s="47">
        <v>2284.64</v>
      </c>
      <c r="K76" s="47">
        <f t="shared" si="4"/>
        <v>0</v>
      </c>
      <c r="L76" s="47">
        <v>2284.64</v>
      </c>
      <c r="M76" s="47">
        <v>0</v>
      </c>
      <c r="N76" s="47">
        <f t="shared" ref="N76" si="152">+M76/7.5345</f>
        <v>0</v>
      </c>
      <c r="O76" s="47">
        <v>0</v>
      </c>
      <c r="P76" s="55">
        <f t="shared" ref="P76" si="153">+O76/7.5345</f>
        <v>0</v>
      </c>
    </row>
    <row r="77" spans="1:16" x14ac:dyDescent="0.25">
      <c r="A77" s="45">
        <v>4</v>
      </c>
      <c r="B77" s="52"/>
      <c r="C77" s="52"/>
      <c r="D77" s="46" t="s">
        <v>5</v>
      </c>
      <c r="E77" s="47">
        <f>+E78</f>
        <v>0</v>
      </c>
      <c r="F77" s="47">
        <f>+F78</f>
        <v>0</v>
      </c>
      <c r="G77" s="47">
        <f t="shared" ref="G77:M77" si="154">+G78</f>
        <v>1073443</v>
      </c>
      <c r="H77" s="47">
        <f t="shared" ref="H77" si="155">+G77/7.5345</f>
        <v>142470.36963302142</v>
      </c>
      <c r="I77" s="47">
        <f t="shared" si="154"/>
        <v>1002088.5</v>
      </c>
      <c r="J77" s="47">
        <f>+J78</f>
        <v>176798.79</v>
      </c>
      <c r="K77" s="47">
        <f t="shared" si="4"/>
        <v>0</v>
      </c>
      <c r="L77" s="47">
        <f>+L78</f>
        <v>176798.79</v>
      </c>
      <c r="M77" s="47">
        <f t="shared" si="154"/>
        <v>0</v>
      </c>
      <c r="N77" s="47">
        <f t="shared" ref="N77" si="156">+M77/7.5345</f>
        <v>0</v>
      </c>
      <c r="O77" s="47">
        <f>+O78</f>
        <v>0</v>
      </c>
      <c r="P77" s="55">
        <f t="shared" ref="P77" si="157">+O77/7.5345</f>
        <v>0</v>
      </c>
    </row>
    <row r="78" spans="1:16" x14ac:dyDescent="0.25">
      <c r="A78" s="45">
        <v>42</v>
      </c>
      <c r="B78" s="52"/>
      <c r="C78" s="52"/>
      <c r="D78" s="49" t="s">
        <v>115</v>
      </c>
      <c r="E78" s="47">
        <v>0</v>
      </c>
      <c r="F78" s="47">
        <v>0</v>
      </c>
      <c r="G78" s="47">
        <v>1073443</v>
      </c>
      <c r="H78" s="47">
        <f t="shared" ref="H78" si="158">+G78/7.5345</f>
        <v>142470.36963302142</v>
      </c>
      <c r="I78" s="47">
        <v>1002088.5</v>
      </c>
      <c r="J78" s="47">
        <v>176798.79</v>
      </c>
      <c r="K78" s="47">
        <f t="shared" si="4"/>
        <v>0</v>
      </c>
      <c r="L78" s="47">
        <v>176798.79</v>
      </c>
      <c r="M78" s="47">
        <v>0</v>
      </c>
      <c r="N78" s="47">
        <f t="shared" ref="N78" si="159">+M78/7.5345</f>
        <v>0</v>
      </c>
      <c r="O78" s="47">
        <v>0</v>
      </c>
      <c r="P78" s="55">
        <f t="shared" ref="P78" si="160">+O78/7.5345</f>
        <v>0</v>
      </c>
    </row>
    <row r="79" spans="1:16" s="80" customFormat="1" x14ac:dyDescent="0.25">
      <c r="A79" s="125">
        <v>58400</v>
      </c>
      <c r="B79" s="126"/>
      <c r="C79" s="133"/>
      <c r="D79" s="71" t="s">
        <v>99</v>
      </c>
      <c r="E79" s="82">
        <v>258304.77</v>
      </c>
      <c r="F79" s="82">
        <f>+F80+F84</f>
        <v>40457.99</v>
      </c>
      <c r="G79" s="82">
        <v>303745</v>
      </c>
      <c r="H79" s="82">
        <f t="shared" ref="H79" si="161">+G79/7.5345</f>
        <v>40313.889441900588</v>
      </c>
      <c r="I79" s="82">
        <v>319217.36000000004</v>
      </c>
      <c r="J79" s="82">
        <f>+J80+J84</f>
        <v>47145.439999999995</v>
      </c>
      <c r="K79" s="82">
        <f t="shared" si="4"/>
        <v>3567.580000000009</v>
      </c>
      <c r="L79" s="82">
        <f>+L80+L84</f>
        <v>50713.020000000004</v>
      </c>
      <c r="M79" s="82">
        <v>0</v>
      </c>
      <c r="N79" s="82">
        <f t="shared" ref="N79" si="162">+M79/7.5345</f>
        <v>0</v>
      </c>
      <c r="O79" s="82">
        <v>0</v>
      </c>
      <c r="P79" s="83">
        <f t="shared" ref="P79" si="163">+O79/7.5345</f>
        <v>0</v>
      </c>
    </row>
    <row r="80" spans="1:16" x14ac:dyDescent="0.25">
      <c r="A80" s="45">
        <v>3</v>
      </c>
      <c r="B80" s="53"/>
      <c r="C80" s="53"/>
      <c r="D80" s="46" t="s">
        <v>22</v>
      </c>
      <c r="E80" s="47">
        <v>258304.77</v>
      </c>
      <c r="F80" s="47">
        <f>SUM(F81:F83)</f>
        <v>40457.99</v>
      </c>
      <c r="G80" s="47">
        <v>303745</v>
      </c>
      <c r="H80" s="47">
        <f t="shared" ref="H80" si="164">+G80/7.5345</f>
        <v>40313.889441900588</v>
      </c>
      <c r="I80" s="47">
        <v>281350.92000000004</v>
      </c>
      <c r="J80" s="47">
        <f>SUM(J81:J83)</f>
        <v>42119.7</v>
      </c>
      <c r="K80" s="47">
        <f t="shared" si="4"/>
        <v>1933.320000000007</v>
      </c>
      <c r="L80" s="47">
        <f>SUM(L81:L83)</f>
        <v>44053.020000000004</v>
      </c>
      <c r="M80" s="47">
        <v>0</v>
      </c>
      <c r="N80" s="47">
        <f t="shared" ref="N80" si="165">+M80/7.5345</f>
        <v>0</v>
      </c>
      <c r="O80" s="47">
        <v>0</v>
      </c>
      <c r="P80" s="55">
        <f t="shared" ref="P80" si="166">+O80/7.5345</f>
        <v>0</v>
      </c>
    </row>
    <row r="81" spans="1:16" x14ac:dyDescent="0.25">
      <c r="A81" s="45">
        <v>31</v>
      </c>
      <c r="B81" s="53"/>
      <c r="C81" s="53"/>
      <c r="D81" s="46" t="s">
        <v>25</v>
      </c>
      <c r="E81" s="47">
        <v>203593.93</v>
      </c>
      <c r="F81" s="47">
        <v>27249.4</v>
      </c>
      <c r="G81" s="47">
        <v>229100</v>
      </c>
      <c r="H81" s="47">
        <f t="shared" ref="H81" si="167">+G81/7.5345</f>
        <v>30406.795407790829</v>
      </c>
      <c r="I81" s="47">
        <v>215336.01</v>
      </c>
      <c r="J81" s="47">
        <v>28580</v>
      </c>
      <c r="K81" s="47">
        <f t="shared" si="4"/>
        <v>860</v>
      </c>
      <c r="L81" s="47">
        <v>29440</v>
      </c>
      <c r="M81" s="47">
        <v>0</v>
      </c>
      <c r="N81" s="47">
        <f t="shared" ref="N81" si="168">+M81/7.5345</f>
        <v>0</v>
      </c>
      <c r="O81" s="47">
        <v>0</v>
      </c>
      <c r="P81" s="55">
        <f t="shared" ref="P81" si="169">+O81/7.5345</f>
        <v>0</v>
      </c>
    </row>
    <row r="82" spans="1:16" x14ac:dyDescent="0.25">
      <c r="A82" s="45">
        <v>32</v>
      </c>
      <c r="B82" s="53"/>
      <c r="C82" s="53"/>
      <c r="D82" s="46" t="s">
        <v>40</v>
      </c>
      <c r="E82" s="47">
        <v>54315.840000000004</v>
      </c>
      <c r="F82" s="47">
        <v>13050.88</v>
      </c>
      <c r="G82" s="47">
        <v>73845</v>
      </c>
      <c r="H82" s="47">
        <f t="shared" ref="H82" si="170">+G82/7.5345</f>
        <v>9800.9157873780605</v>
      </c>
      <c r="I82" s="47">
        <v>65261.460000000006</v>
      </c>
      <c r="J82" s="47">
        <v>13439.7</v>
      </c>
      <c r="K82" s="47">
        <f t="shared" si="4"/>
        <v>1098.3199999999997</v>
      </c>
      <c r="L82" s="47">
        <v>14538.02</v>
      </c>
      <c r="M82" s="47">
        <v>0</v>
      </c>
      <c r="N82" s="47">
        <f t="shared" ref="N82" si="171">+M82/7.5345</f>
        <v>0</v>
      </c>
      <c r="O82" s="47">
        <v>0</v>
      </c>
      <c r="P82" s="55">
        <f t="shared" ref="P82" si="172">+O82/7.5345</f>
        <v>0</v>
      </c>
    </row>
    <row r="83" spans="1:16" x14ac:dyDescent="0.25">
      <c r="A83" s="45">
        <v>34</v>
      </c>
      <c r="B83" s="53"/>
      <c r="C83" s="53"/>
      <c r="D83" s="46" t="s">
        <v>76</v>
      </c>
      <c r="E83" s="47">
        <v>395</v>
      </c>
      <c r="F83" s="47">
        <v>157.71</v>
      </c>
      <c r="G83" s="47">
        <v>800</v>
      </c>
      <c r="H83" s="47">
        <f t="shared" ref="H83" si="173">+G83/7.5345</f>
        <v>106.17824673170084</v>
      </c>
      <c r="I83" s="47">
        <v>753.45</v>
      </c>
      <c r="J83" s="47">
        <v>100</v>
      </c>
      <c r="K83" s="47">
        <f t="shared" si="4"/>
        <v>-25</v>
      </c>
      <c r="L83" s="47">
        <v>75</v>
      </c>
      <c r="M83" s="47">
        <v>0</v>
      </c>
      <c r="N83" s="47">
        <f t="shared" ref="N83" si="174">+M83/7.5345</f>
        <v>0</v>
      </c>
      <c r="O83" s="47">
        <v>0</v>
      </c>
      <c r="P83" s="55">
        <f t="shared" ref="P83" si="175">+O83/7.5345</f>
        <v>0</v>
      </c>
    </row>
    <row r="84" spans="1:16" x14ac:dyDescent="0.25">
      <c r="A84" s="45">
        <v>4</v>
      </c>
      <c r="B84" s="52"/>
      <c r="C84" s="52"/>
      <c r="D84" s="46" t="s">
        <v>5</v>
      </c>
      <c r="E84" s="47">
        <f>+E85</f>
        <v>0</v>
      </c>
      <c r="F84" s="47">
        <f>+F85</f>
        <v>0</v>
      </c>
      <c r="G84" s="47">
        <f t="shared" ref="G84:M84" si="176">+G85</f>
        <v>0</v>
      </c>
      <c r="H84" s="47">
        <f t="shared" ref="H84" si="177">+G84/7.5345</f>
        <v>0</v>
      </c>
      <c r="I84" s="47">
        <f t="shared" si="176"/>
        <v>37866.44</v>
      </c>
      <c r="J84" s="47">
        <f>+J85</f>
        <v>5025.74</v>
      </c>
      <c r="K84" s="47">
        <f t="shared" si="4"/>
        <v>1634.2600000000002</v>
      </c>
      <c r="L84" s="47">
        <f>+L85</f>
        <v>6660</v>
      </c>
      <c r="M84" s="47">
        <f t="shared" si="176"/>
        <v>0</v>
      </c>
      <c r="N84" s="47">
        <f t="shared" ref="N84" si="178">+M84/7.5345</f>
        <v>0</v>
      </c>
      <c r="O84" s="47">
        <f>+O85</f>
        <v>0</v>
      </c>
      <c r="P84" s="55">
        <f t="shared" ref="P84" si="179">+O84/7.5345</f>
        <v>0</v>
      </c>
    </row>
    <row r="85" spans="1:16" x14ac:dyDescent="0.25">
      <c r="A85" s="48">
        <v>42</v>
      </c>
      <c r="B85" s="54"/>
      <c r="C85" s="54"/>
      <c r="D85" s="49" t="s">
        <v>115</v>
      </c>
      <c r="E85" s="50">
        <v>0</v>
      </c>
      <c r="F85" s="50">
        <v>0</v>
      </c>
      <c r="G85" s="50">
        <v>0</v>
      </c>
      <c r="H85" s="50">
        <f t="shared" ref="H85" si="180">+G85/7.5345</f>
        <v>0</v>
      </c>
      <c r="I85" s="50">
        <v>37866.44</v>
      </c>
      <c r="J85" s="50">
        <v>5025.74</v>
      </c>
      <c r="K85" s="50">
        <f t="shared" si="4"/>
        <v>1634.2600000000002</v>
      </c>
      <c r="L85" s="50">
        <v>6660</v>
      </c>
      <c r="M85" s="50">
        <v>0</v>
      </c>
      <c r="N85" s="50">
        <f t="shared" ref="N85" si="181">+M85/7.5345</f>
        <v>0</v>
      </c>
      <c r="O85" s="50">
        <v>0</v>
      </c>
      <c r="P85" s="56">
        <f t="shared" ref="P85" si="182">+O85/7.5345</f>
        <v>0</v>
      </c>
    </row>
    <row r="86" spans="1:16" s="80" customFormat="1" x14ac:dyDescent="0.25">
      <c r="A86" s="127" t="s">
        <v>100</v>
      </c>
      <c r="B86" s="128"/>
      <c r="C86" s="132"/>
      <c r="D86" s="72" t="s">
        <v>101</v>
      </c>
      <c r="E86" s="73">
        <f>+E87</f>
        <v>1904</v>
      </c>
      <c r="F86" s="73">
        <f>+F87</f>
        <v>143.34</v>
      </c>
      <c r="G86" s="73">
        <f t="shared" ref="G86:O86" si="183">+G87</f>
        <v>0</v>
      </c>
      <c r="H86" s="73">
        <f t="shared" ref="H86" si="184">+G86/7.5345</f>
        <v>0</v>
      </c>
      <c r="I86" s="73">
        <f t="shared" si="183"/>
        <v>0</v>
      </c>
      <c r="J86" s="73">
        <f>+J87</f>
        <v>0</v>
      </c>
      <c r="K86" s="73">
        <f t="shared" si="4"/>
        <v>0</v>
      </c>
      <c r="L86" s="73">
        <f>+L87</f>
        <v>0</v>
      </c>
      <c r="M86" s="73">
        <f t="shared" si="183"/>
        <v>0</v>
      </c>
      <c r="N86" s="73">
        <f t="shared" ref="N86" si="185">+M86/7.5345</f>
        <v>0</v>
      </c>
      <c r="O86" s="73">
        <f t="shared" si="183"/>
        <v>0</v>
      </c>
      <c r="P86" s="74">
        <f t="shared" ref="P86" si="186">+O86/7.5345</f>
        <v>0</v>
      </c>
    </row>
    <row r="87" spans="1:16" s="80" customFormat="1" x14ac:dyDescent="0.25">
      <c r="A87" s="125">
        <v>53082</v>
      </c>
      <c r="B87" s="126"/>
      <c r="C87" s="133"/>
      <c r="D87" s="71" t="s">
        <v>86</v>
      </c>
      <c r="E87" s="82">
        <v>1904</v>
      </c>
      <c r="F87" s="82">
        <f>+F88</f>
        <v>143.34</v>
      </c>
      <c r="G87" s="82">
        <v>0</v>
      </c>
      <c r="H87" s="82">
        <f t="shared" ref="H87" si="187">+G87/7.5345</f>
        <v>0</v>
      </c>
      <c r="I87" s="82">
        <v>0</v>
      </c>
      <c r="J87" s="82">
        <f>SUM(J88:J89)</f>
        <v>0</v>
      </c>
      <c r="K87" s="82">
        <f t="shared" si="4"/>
        <v>0</v>
      </c>
      <c r="L87" s="82">
        <f>SUM(L88:L89)</f>
        <v>0</v>
      </c>
      <c r="M87" s="82">
        <v>0</v>
      </c>
      <c r="N87" s="82">
        <f t="shared" ref="N87" si="188">+M87/7.5345</f>
        <v>0</v>
      </c>
      <c r="O87" s="82">
        <v>0</v>
      </c>
      <c r="P87" s="83">
        <f t="shared" ref="P87" si="189">+O87/7.5345</f>
        <v>0</v>
      </c>
    </row>
    <row r="88" spans="1:16" x14ac:dyDescent="0.25">
      <c r="A88" s="45">
        <v>3</v>
      </c>
      <c r="B88" s="52"/>
      <c r="C88" s="52"/>
      <c r="D88" s="46" t="s">
        <v>22</v>
      </c>
      <c r="E88" s="47">
        <v>1904</v>
      </c>
      <c r="F88" s="47">
        <f>+F89</f>
        <v>143.34</v>
      </c>
      <c r="G88" s="47">
        <v>0</v>
      </c>
      <c r="H88" s="47">
        <f t="shared" ref="H88" si="190">+G88/7.5345</f>
        <v>0</v>
      </c>
      <c r="I88" s="47">
        <v>0</v>
      </c>
      <c r="J88" s="47">
        <v>0</v>
      </c>
      <c r="K88" s="47">
        <f t="shared" si="4"/>
        <v>0</v>
      </c>
      <c r="L88" s="47">
        <v>0</v>
      </c>
      <c r="M88" s="47">
        <v>0</v>
      </c>
      <c r="N88" s="47">
        <f t="shared" ref="N88" si="191">+M88/7.5345</f>
        <v>0</v>
      </c>
      <c r="O88" s="47">
        <v>0</v>
      </c>
      <c r="P88" s="55">
        <f t="shared" ref="P88" si="192">+O88/7.5345</f>
        <v>0</v>
      </c>
    </row>
    <row r="89" spans="1:16" x14ac:dyDescent="0.25">
      <c r="A89" s="45">
        <v>32</v>
      </c>
      <c r="B89" s="52"/>
      <c r="C89" s="52"/>
      <c r="D89" s="46" t="s">
        <v>40</v>
      </c>
      <c r="E89" s="50">
        <v>1904</v>
      </c>
      <c r="F89" s="50">
        <v>143.34</v>
      </c>
      <c r="G89" s="50">
        <v>0</v>
      </c>
      <c r="H89" s="50">
        <f t="shared" ref="H89" si="193">+G89/7.5345</f>
        <v>0</v>
      </c>
      <c r="I89" s="50">
        <v>0</v>
      </c>
      <c r="J89" s="50">
        <v>0</v>
      </c>
      <c r="K89" s="50">
        <f t="shared" si="4"/>
        <v>0</v>
      </c>
      <c r="L89" s="50">
        <v>0</v>
      </c>
      <c r="M89" s="50">
        <v>0</v>
      </c>
      <c r="N89" s="50">
        <f t="shared" ref="N89" si="194">+M89/7.5345</f>
        <v>0</v>
      </c>
      <c r="O89" s="50">
        <v>0</v>
      </c>
      <c r="P89" s="56">
        <f t="shared" ref="P89" si="195">+O89/7.5345</f>
        <v>0</v>
      </c>
    </row>
    <row r="90" spans="1:16" s="80" customFormat="1" x14ac:dyDescent="0.25">
      <c r="A90" s="127" t="s">
        <v>102</v>
      </c>
      <c r="B90" s="128"/>
      <c r="C90" s="132"/>
      <c r="D90" s="72" t="s">
        <v>103</v>
      </c>
      <c r="E90" s="73">
        <f>+E91</f>
        <v>0</v>
      </c>
      <c r="F90" s="73">
        <f>+F91</f>
        <v>1327.23</v>
      </c>
      <c r="G90" s="73">
        <f t="shared" ref="G90:O90" si="196">+G91</f>
        <v>10000</v>
      </c>
      <c r="H90" s="73">
        <f t="shared" ref="H90" si="197">+G90/7.5345</f>
        <v>1327.2280841462605</v>
      </c>
      <c r="I90" s="73">
        <f t="shared" si="196"/>
        <v>9998.2799999999988</v>
      </c>
      <c r="J90" s="73">
        <f>+J91</f>
        <v>1327.23</v>
      </c>
      <c r="K90" s="73">
        <f t="shared" si="4"/>
        <v>0</v>
      </c>
      <c r="L90" s="73">
        <f>+L91</f>
        <v>1327.23</v>
      </c>
      <c r="M90" s="73">
        <f t="shared" si="196"/>
        <v>9998.2799999999988</v>
      </c>
      <c r="N90" s="73">
        <f t="shared" ref="N90" si="198">+M90/7.5345</f>
        <v>1326.9998009157871</v>
      </c>
      <c r="O90" s="73">
        <f t="shared" si="196"/>
        <v>9998.2799999999988</v>
      </c>
      <c r="P90" s="74">
        <f t="shared" ref="P90" si="199">+O90/7.5345</f>
        <v>1326.9998009157871</v>
      </c>
    </row>
    <row r="91" spans="1:16" s="80" customFormat="1" x14ac:dyDescent="0.25">
      <c r="A91" s="125">
        <v>11001</v>
      </c>
      <c r="B91" s="126"/>
      <c r="C91" s="133"/>
      <c r="D91" s="71" t="s">
        <v>90</v>
      </c>
      <c r="E91" s="82">
        <v>0</v>
      </c>
      <c r="F91" s="82">
        <f>+F92</f>
        <v>1327.23</v>
      </c>
      <c r="G91" s="82">
        <v>10000</v>
      </c>
      <c r="H91" s="82">
        <f t="shared" ref="H91" si="200">+G91/7.5345</f>
        <v>1327.2280841462605</v>
      </c>
      <c r="I91" s="82">
        <v>9998.2799999999988</v>
      </c>
      <c r="J91" s="82">
        <f>+J92</f>
        <v>1327.23</v>
      </c>
      <c r="K91" s="82">
        <f t="shared" si="4"/>
        <v>0</v>
      </c>
      <c r="L91" s="82">
        <f>+L92</f>
        <v>1327.23</v>
      </c>
      <c r="M91" s="82">
        <v>9998.2799999999988</v>
      </c>
      <c r="N91" s="82">
        <f t="shared" ref="N91" si="201">+M91/7.5345</f>
        <v>1326.9998009157871</v>
      </c>
      <c r="O91" s="82">
        <v>9998.2799999999988</v>
      </c>
      <c r="P91" s="83">
        <f t="shared" ref="P91" si="202">+O91/7.5345</f>
        <v>1326.9998009157871</v>
      </c>
    </row>
    <row r="92" spans="1:16" x14ac:dyDescent="0.25">
      <c r="A92" s="45">
        <v>3</v>
      </c>
      <c r="B92" s="52"/>
      <c r="C92" s="52"/>
      <c r="D92" s="46" t="s">
        <v>22</v>
      </c>
      <c r="E92" s="47">
        <v>0</v>
      </c>
      <c r="F92" s="47">
        <f>+F93</f>
        <v>1327.23</v>
      </c>
      <c r="G92" s="47">
        <v>10000</v>
      </c>
      <c r="H92" s="47">
        <f t="shared" ref="H92" si="203">+G92/7.5345</f>
        <v>1327.2280841462605</v>
      </c>
      <c r="I92" s="47">
        <v>9998.2799999999988</v>
      </c>
      <c r="J92" s="47">
        <f>+J93</f>
        <v>1327.23</v>
      </c>
      <c r="K92" s="47">
        <f t="shared" si="4"/>
        <v>0</v>
      </c>
      <c r="L92" s="47">
        <f>+L93</f>
        <v>1327.23</v>
      </c>
      <c r="M92" s="47">
        <v>9998.2799999999988</v>
      </c>
      <c r="N92" s="47">
        <f t="shared" ref="N92" si="204">+M92/7.5345</f>
        <v>1326.9998009157871</v>
      </c>
      <c r="O92" s="47">
        <v>9998.2799999999988</v>
      </c>
      <c r="P92" s="55">
        <f t="shared" ref="P92" si="205">+O92/7.5345</f>
        <v>1326.9998009157871</v>
      </c>
    </row>
    <row r="93" spans="1:16" x14ac:dyDescent="0.25">
      <c r="A93" s="45">
        <v>32</v>
      </c>
      <c r="B93" s="52"/>
      <c r="C93" s="52"/>
      <c r="D93" s="46" t="s">
        <v>40</v>
      </c>
      <c r="E93" s="50">
        <v>0</v>
      </c>
      <c r="F93" s="50">
        <v>1327.23</v>
      </c>
      <c r="G93" s="50">
        <v>10000</v>
      </c>
      <c r="H93" s="50">
        <f t="shared" ref="H93:H97" si="206">+G93/7.5345</f>
        <v>1327.2280841462605</v>
      </c>
      <c r="I93" s="50">
        <v>9998.2799999999988</v>
      </c>
      <c r="J93" s="50">
        <v>1327.23</v>
      </c>
      <c r="K93" s="50">
        <f t="shared" si="4"/>
        <v>0</v>
      </c>
      <c r="L93" s="50">
        <v>1327.23</v>
      </c>
      <c r="M93" s="50">
        <v>9998.2799999999988</v>
      </c>
      <c r="N93" s="50">
        <f t="shared" ref="N93" si="207">+M93/7.5345</f>
        <v>1326.9998009157871</v>
      </c>
      <c r="O93" s="50">
        <v>9998.2799999999988</v>
      </c>
      <c r="P93" s="56">
        <f t="shared" ref="P93:P97" si="208">+O93/7.5345</f>
        <v>1326.9998009157871</v>
      </c>
    </row>
    <row r="94" spans="1:16" ht="16.5" x14ac:dyDescent="0.25">
      <c r="A94" s="129" t="s">
        <v>133</v>
      </c>
      <c r="B94" s="130"/>
      <c r="C94" s="131"/>
      <c r="D94" s="69" t="s">
        <v>87</v>
      </c>
      <c r="E94" s="70">
        <f>+E95+E99+E110+E114+E130+E134</f>
        <v>26895.55</v>
      </c>
      <c r="F94" s="70">
        <f t="shared" ref="F94:F96" si="209">+F95</f>
        <v>0</v>
      </c>
      <c r="G94" s="70">
        <f>+G95+G99+G110+G114+G130+G134</f>
        <v>131780</v>
      </c>
      <c r="H94" s="70">
        <f t="shared" si="206"/>
        <v>17490.21169287942</v>
      </c>
      <c r="I94" s="70">
        <f>+I95+I99+I110+I114+I130+I134</f>
        <v>120001.98</v>
      </c>
      <c r="J94" s="70">
        <f t="shared" ref="J94:L96" si="210">+J95</f>
        <v>4.46</v>
      </c>
      <c r="K94" s="70">
        <f t="shared" si="210"/>
        <v>0</v>
      </c>
      <c r="L94" s="70">
        <f t="shared" si="210"/>
        <v>4.46</v>
      </c>
      <c r="M94" s="70">
        <f>+M95+M99+M110+M114+M130+M134</f>
        <v>9998.2799999999988</v>
      </c>
      <c r="N94" s="70">
        <v>0</v>
      </c>
      <c r="O94" s="70">
        <f>+O95+O99+O110+O114+O130+O134</f>
        <v>0</v>
      </c>
      <c r="P94" s="85">
        <f t="shared" si="208"/>
        <v>0</v>
      </c>
    </row>
    <row r="95" spans="1:16" s="80" customFormat="1" x14ac:dyDescent="0.25">
      <c r="A95" s="127" t="s">
        <v>130</v>
      </c>
      <c r="B95" s="128"/>
      <c r="C95" s="132"/>
      <c r="D95" s="72" t="s">
        <v>131</v>
      </c>
      <c r="E95" s="73">
        <f>+E96</f>
        <v>0</v>
      </c>
      <c r="F95" s="73">
        <f t="shared" si="209"/>
        <v>0</v>
      </c>
      <c r="G95" s="73">
        <f t="shared" ref="G95:O95" si="211">+G96</f>
        <v>10000</v>
      </c>
      <c r="H95" s="73">
        <f t="shared" si="206"/>
        <v>1327.2280841462605</v>
      </c>
      <c r="I95" s="73">
        <f t="shared" si="211"/>
        <v>9998.2799999999988</v>
      </c>
      <c r="J95" s="73">
        <f t="shared" si="210"/>
        <v>4.46</v>
      </c>
      <c r="K95" s="73">
        <f t="shared" si="210"/>
        <v>0</v>
      </c>
      <c r="L95" s="73">
        <f t="shared" si="210"/>
        <v>4.46</v>
      </c>
      <c r="M95" s="73">
        <f t="shared" si="211"/>
        <v>9998.2799999999988</v>
      </c>
      <c r="N95" s="73">
        <v>0</v>
      </c>
      <c r="O95" s="73">
        <f t="shared" si="211"/>
        <v>0</v>
      </c>
      <c r="P95" s="74">
        <f t="shared" si="208"/>
        <v>0</v>
      </c>
    </row>
    <row r="96" spans="1:16" s="80" customFormat="1" ht="25.5" x14ac:dyDescent="0.25">
      <c r="A96" s="125">
        <v>53102</v>
      </c>
      <c r="B96" s="126"/>
      <c r="C96" s="133"/>
      <c r="D96" s="71" t="s">
        <v>134</v>
      </c>
      <c r="E96" s="82">
        <v>0</v>
      </c>
      <c r="F96" s="82">
        <f t="shared" si="209"/>
        <v>0</v>
      </c>
      <c r="G96" s="82">
        <v>10000</v>
      </c>
      <c r="H96" s="82">
        <f t="shared" si="206"/>
        <v>1327.2280841462605</v>
      </c>
      <c r="I96" s="82">
        <v>9998.2799999999988</v>
      </c>
      <c r="J96" s="82">
        <f t="shared" si="210"/>
        <v>4.46</v>
      </c>
      <c r="K96" s="82">
        <f t="shared" si="210"/>
        <v>0</v>
      </c>
      <c r="L96" s="82">
        <f t="shared" si="210"/>
        <v>4.46</v>
      </c>
      <c r="M96" s="82">
        <v>9998.2799999999988</v>
      </c>
      <c r="N96" s="82">
        <v>0</v>
      </c>
      <c r="O96" s="82">
        <v>0</v>
      </c>
      <c r="P96" s="83">
        <v>0</v>
      </c>
    </row>
    <row r="97" spans="1:16" x14ac:dyDescent="0.25">
      <c r="A97" s="45">
        <v>3</v>
      </c>
      <c r="B97" s="52"/>
      <c r="C97" s="52"/>
      <c r="D97" s="46" t="s">
        <v>22</v>
      </c>
      <c r="E97" s="47">
        <v>0</v>
      </c>
      <c r="F97" s="47">
        <f>+F98</f>
        <v>0</v>
      </c>
      <c r="G97" s="47">
        <v>10000</v>
      </c>
      <c r="H97" s="47">
        <f t="shared" si="206"/>
        <v>1327.2280841462605</v>
      </c>
      <c r="I97" s="47">
        <v>9998.2799999999988</v>
      </c>
      <c r="J97" s="47">
        <f>+J98</f>
        <v>4.46</v>
      </c>
      <c r="K97" s="47">
        <f t="shared" si="4"/>
        <v>0</v>
      </c>
      <c r="L97" s="47">
        <f>+L98</f>
        <v>4.46</v>
      </c>
      <c r="M97" s="47">
        <v>9998.2799999999988</v>
      </c>
      <c r="N97" s="47">
        <v>0</v>
      </c>
      <c r="O97" s="47">
        <v>0</v>
      </c>
      <c r="P97" s="55">
        <f t="shared" si="208"/>
        <v>0</v>
      </c>
    </row>
    <row r="98" spans="1:16" x14ac:dyDescent="0.25">
      <c r="A98" s="45">
        <v>38</v>
      </c>
      <c r="B98" s="52"/>
      <c r="C98" s="52"/>
      <c r="D98" s="46" t="s">
        <v>132</v>
      </c>
      <c r="E98" s="50">
        <v>0</v>
      </c>
      <c r="F98" s="50">
        <v>0</v>
      </c>
      <c r="G98" s="50">
        <v>10000</v>
      </c>
      <c r="H98" s="50">
        <f t="shared" ref="H98" si="212">+G98/7.5345</f>
        <v>1327.2280841462605</v>
      </c>
      <c r="I98" s="50">
        <v>9998.2799999999988</v>
      </c>
      <c r="J98" s="50">
        <v>4.46</v>
      </c>
      <c r="K98" s="50">
        <f t="shared" si="4"/>
        <v>0</v>
      </c>
      <c r="L98" s="50">
        <v>4.46</v>
      </c>
      <c r="M98" s="50">
        <v>9998.2799999999988</v>
      </c>
      <c r="N98" s="50">
        <v>0</v>
      </c>
      <c r="O98" s="50">
        <v>0</v>
      </c>
      <c r="P98" s="56">
        <f t="shared" ref="P98" si="213">+O98/7.5345</f>
        <v>0</v>
      </c>
    </row>
    <row r="99" spans="1:16" ht="16.5" x14ac:dyDescent="0.25">
      <c r="A99" s="129">
        <v>2406</v>
      </c>
      <c r="B99" s="130"/>
      <c r="C99" s="131"/>
      <c r="D99" s="69" t="s">
        <v>104</v>
      </c>
      <c r="E99" s="70">
        <f>+E100+E106</f>
        <v>23645.55</v>
      </c>
      <c r="F99" s="70">
        <f>+F100+F106+F113</f>
        <v>3542.91</v>
      </c>
      <c r="G99" s="70">
        <v>121780</v>
      </c>
      <c r="H99" s="70">
        <f t="shared" ref="H99" si="214">+G99/7.5345</f>
        <v>16162.983608733161</v>
      </c>
      <c r="I99" s="70">
        <v>110003.7</v>
      </c>
      <c r="J99" s="70">
        <f>+J100+J106+J113</f>
        <v>14954.55</v>
      </c>
      <c r="K99" s="70">
        <f t="shared" si="4"/>
        <v>0</v>
      </c>
      <c r="L99" s="70">
        <f>+L100+L106+L113</f>
        <v>14954.55</v>
      </c>
      <c r="M99" s="70">
        <v>0</v>
      </c>
      <c r="N99" s="70">
        <f t="shared" ref="N99" si="215">+M99/7.5345</f>
        <v>0</v>
      </c>
      <c r="O99" s="70">
        <v>0</v>
      </c>
      <c r="P99" s="85">
        <f t="shared" ref="P99" si="216">+O99/7.5345</f>
        <v>0</v>
      </c>
    </row>
    <row r="100" spans="1:16" s="80" customFormat="1" x14ac:dyDescent="0.25">
      <c r="A100" s="127" t="s">
        <v>105</v>
      </c>
      <c r="B100" s="128"/>
      <c r="C100" s="132"/>
      <c r="D100" s="72" t="s">
        <v>106</v>
      </c>
      <c r="E100" s="73">
        <v>17395.55</v>
      </c>
      <c r="F100" s="73">
        <f>+F101</f>
        <v>1528.51</v>
      </c>
      <c r="G100" s="73">
        <v>121780</v>
      </c>
      <c r="H100" s="73">
        <f t="shared" ref="H100" si="217">+G100/7.5345</f>
        <v>16162.983608733161</v>
      </c>
      <c r="I100" s="73">
        <v>110003.7</v>
      </c>
      <c r="J100" s="73">
        <f>+J101</f>
        <v>14624.55</v>
      </c>
      <c r="K100" s="73">
        <f t="shared" si="4"/>
        <v>0</v>
      </c>
      <c r="L100" s="73">
        <f>+L101</f>
        <v>14624.55</v>
      </c>
      <c r="M100" s="73">
        <v>0</v>
      </c>
      <c r="N100" s="73">
        <f t="shared" ref="N100" si="218">+M100/7.5345</f>
        <v>0</v>
      </c>
      <c r="O100" s="73">
        <v>0</v>
      </c>
      <c r="P100" s="74">
        <f t="shared" ref="P100" si="219">+O100/7.5345</f>
        <v>0</v>
      </c>
    </row>
    <row r="101" spans="1:16" s="80" customFormat="1" x14ac:dyDescent="0.25">
      <c r="A101" s="125">
        <v>32400</v>
      </c>
      <c r="B101" s="126"/>
      <c r="C101" s="133"/>
      <c r="D101" s="71" t="s">
        <v>81</v>
      </c>
      <c r="E101" s="82">
        <v>17395.55</v>
      </c>
      <c r="F101" s="82">
        <f>+F104+F102</f>
        <v>1528.51</v>
      </c>
      <c r="G101" s="82">
        <v>121780</v>
      </c>
      <c r="H101" s="82">
        <f t="shared" ref="H101:H103" si="220">+G101/7.5345</f>
        <v>16162.983608733161</v>
      </c>
      <c r="I101" s="82">
        <v>110003.7</v>
      </c>
      <c r="J101" s="82">
        <f t="shared" ref="J101:P101" si="221">+J104+J102</f>
        <v>14624.55</v>
      </c>
      <c r="K101" s="82">
        <f t="shared" si="221"/>
        <v>0</v>
      </c>
      <c r="L101" s="82">
        <f t="shared" si="221"/>
        <v>14624.55</v>
      </c>
      <c r="M101" s="82">
        <f t="shared" si="221"/>
        <v>9998.2799999999988</v>
      </c>
      <c r="N101" s="82">
        <f t="shared" si="221"/>
        <v>1326.9998009157871</v>
      </c>
      <c r="O101" s="82">
        <f t="shared" si="221"/>
        <v>9998.2799999999988</v>
      </c>
      <c r="P101" s="83">
        <f t="shared" si="221"/>
        <v>1326.9998009157871</v>
      </c>
    </row>
    <row r="102" spans="1:16" x14ac:dyDescent="0.25">
      <c r="A102" s="45">
        <v>3</v>
      </c>
      <c r="B102" s="52"/>
      <c r="C102" s="52"/>
      <c r="D102" s="46" t="s">
        <v>22</v>
      </c>
      <c r="E102" s="47">
        <v>0</v>
      </c>
      <c r="F102" s="47">
        <f>+F103</f>
        <v>0</v>
      </c>
      <c r="G102" s="47">
        <v>10000</v>
      </c>
      <c r="H102" s="47">
        <f t="shared" si="220"/>
        <v>1327.2280841462605</v>
      </c>
      <c r="I102" s="47">
        <v>9998.2799999999988</v>
      </c>
      <c r="J102" s="47">
        <f>+J103</f>
        <v>0</v>
      </c>
      <c r="K102" s="47">
        <f t="shared" ref="K102:K103" si="222">+L102-J102</f>
        <v>1585</v>
      </c>
      <c r="L102" s="47">
        <f>+L103</f>
        <v>1585</v>
      </c>
      <c r="M102" s="47">
        <v>9998.2799999999988</v>
      </c>
      <c r="N102" s="47">
        <f t="shared" ref="N102" si="223">+M102/7.5345</f>
        <v>1326.9998009157871</v>
      </c>
      <c r="O102" s="47">
        <v>9998.2799999999988</v>
      </c>
      <c r="P102" s="55">
        <f t="shared" ref="P102" si="224">+O102/7.5345</f>
        <v>1326.9998009157871</v>
      </c>
    </row>
    <row r="103" spans="1:16" x14ac:dyDescent="0.25">
      <c r="A103" s="45">
        <v>32</v>
      </c>
      <c r="B103" s="52"/>
      <c r="C103" s="52"/>
      <c r="D103" s="46" t="s">
        <v>40</v>
      </c>
      <c r="E103" s="50">
        <v>0</v>
      </c>
      <c r="F103" s="47">
        <v>0</v>
      </c>
      <c r="G103" s="47">
        <v>10000</v>
      </c>
      <c r="H103" s="47">
        <f t="shared" si="220"/>
        <v>1327.2280841462605</v>
      </c>
      <c r="I103" s="47">
        <v>9998.2799999999988</v>
      </c>
      <c r="J103" s="47">
        <v>0</v>
      </c>
      <c r="K103" s="47">
        <f t="shared" si="222"/>
        <v>1585</v>
      </c>
      <c r="L103" s="47">
        <v>1585</v>
      </c>
      <c r="M103" s="47">
        <v>9998.2799999999988</v>
      </c>
      <c r="N103" s="47">
        <v>0</v>
      </c>
      <c r="O103" s="47">
        <v>9998.2799999999988</v>
      </c>
      <c r="P103" s="55">
        <v>0</v>
      </c>
    </row>
    <row r="104" spans="1:16" x14ac:dyDescent="0.25">
      <c r="A104" s="45">
        <v>4</v>
      </c>
      <c r="B104" s="52"/>
      <c r="C104" s="52"/>
      <c r="D104" s="46" t="s">
        <v>5</v>
      </c>
      <c r="E104" s="47">
        <v>17395.55</v>
      </c>
      <c r="F104" s="47">
        <f>+F105</f>
        <v>1528.51</v>
      </c>
      <c r="G104" s="47">
        <v>121780</v>
      </c>
      <c r="H104" s="47">
        <f t="shared" ref="H104" si="225">+G104/7.5345</f>
        <v>16162.983608733161</v>
      </c>
      <c r="I104" s="47">
        <v>110003.7</v>
      </c>
      <c r="J104" s="47">
        <f>+J105</f>
        <v>14624.55</v>
      </c>
      <c r="K104" s="47">
        <f t="shared" ref="K104:K126" si="226">+L104-J104</f>
        <v>-1585</v>
      </c>
      <c r="L104" s="47">
        <f>+L105</f>
        <v>13039.55</v>
      </c>
      <c r="M104" s="47">
        <v>0</v>
      </c>
      <c r="N104" s="47">
        <f t="shared" ref="N104" si="227">+M104/7.5345</f>
        <v>0</v>
      </c>
      <c r="O104" s="47">
        <v>0</v>
      </c>
      <c r="P104" s="55">
        <f t="shared" ref="P104" si="228">+O104/7.5345</f>
        <v>0</v>
      </c>
    </row>
    <row r="105" spans="1:16" x14ac:dyDescent="0.25">
      <c r="A105" s="45">
        <v>42</v>
      </c>
      <c r="B105" s="52"/>
      <c r="C105" s="52"/>
      <c r="D105" s="46" t="s">
        <v>115</v>
      </c>
      <c r="E105" s="50">
        <v>17395.55</v>
      </c>
      <c r="F105" s="50">
        <v>1528.51</v>
      </c>
      <c r="G105" s="50">
        <v>121780</v>
      </c>
      <c r="H105" s="50">
        <f t="shared" ref="H105" si="229">+G105/7.5345</f>
        <v>16162.983608733161</v>
      </c>
      <c r="I105" s="50">
        <v>110003.7</v>
      </c>
      <c r="J105" s="50">
        <v>14624.55</v>
      </c>
      <c r="K105" s="50">
        <f t="shared" si="226"/>
        <v>-1585</v>
      </c>
      <c r="L105" s="50">
        <v>13039.55</v>
      </c>
      <c r="M105" s="50">
        <v>0</v>
      </c>
      <c r="N105" s="50">
        <f t="shared" ref="N105" si="230">+M105/7.5345</f>
        <v>0</v>
      </c>
      <c r="O105" s="50">
        <v>0</v>
      </c>
      <c r="P105" s="56">
        <f t="shared" ref="P105" si="231">+O105/7.5345</f>
        <v>0</v>
      </c>
    </row>
    <row r="106" spans="1:16" s="80" customFormat="1" x14ac:dyDescent="0.25">
      <c r="A106" s="127" t="s">
        <v>107</v>
      </c>
      <c r="B106" s="128"/>
      <c r="C106" s="78"/>
      <c r="D106" s="72" t="s">
        <v>108</v>
      </c>
      <c r="E106" s="73">
        <f>+E107+E110</f>
        <v>6250</v>
      </c>
      <c r="F106" s="73">
        <f>+F107+F110</f>
        <v>2014.4</v>
      </c>
      <c r="G106" s="73">
        <f t="shared" ref="G106:O106" si="232">+G107+G110</f>
        <v>0</v>
      </c>
      <c r="H106" s="73">
        <f t="shared" ref="H106" si="233">+G106/7.5345</f>
        <v>0</v>
      </c>
      <c r="I106" s="73">
        <f t="shared" si="232"/>
        <v>0</v>
      </c>
      <c r="J106" s="73">
        <f>+J107+J110</f>
        <v>0</v>
      </c>
      <c r="K106" s="73">
        <f t="shared" si="226"/>
        <v>0</v>
      </c>
      <c r="L106" s="73">
        <f>+L107+L110</f>
        <v>0</v>
      </c>
      <c r="M106" s="73">
        <f t="shared" si="232"/>
        <v>0</v>
      </c>
      <c r="N106" s="73">
        <f t="shared" ref="N106" si="234">+M106/7.5345</f>
        <v>0</v>
      </c>
      <c r="O106" s="73">
        <f t="shared" si="232"/>
        <v>0</v>
      </c>
      <c r="P106" s="74">
        <f t="shared" ref="P106" si="235">+O106/7.5345</f>
        <v>0</v>
      </c>
    </row>
    <row r="107" spans="1:16" s="80" customFormat="1" x14ac:dyDescent="0.25">
      <c r="A107" s="125">
        <v>11001</v>
      </c>
      <c r="B107" s="126"/>
      <c r="C107" s="79"/>
      <c r="D107" s="71" t="s">
        <v>90</v>
      </c>
      <c r="E107" s="82">
        <v>3000</v>
      </c>
      <c r="F107" s="82">
        <f>+F108</f>
        <v>1583.05</v>
      </c>
      <c r="G107" s="82">
        <v>0</v>
      </c>
      <c r="H107" s="82">
        <f t="shared" ref="H107" si="236">+G107/7.5345</f>
        <v>0</v>
      </c>
      <c r="I107" s="82">
        <v>0</v>
      </c>
      <c r="J107" s="82">
        <f>+J108</f>
        <v>0</v>
      </c>
      <c r="K107" s="82">
        <f t="shared" si="226"/>
        <v>0</v>
      </c>
      <c r="L107" s="82">
        <f>+L108</f>
        <v>0</v>
      </c>
      <c r="M107" s="82">
        <v>0</v>
      </c>
      <c r="N107" s="82">
        <f t="shared" ref="N107" si="237">+M107/7.5345</f>
        <v>0</v>
      </c>
      <c r="O107" s="82">
        <v>0</v>
      </c>
      <c r="P107" s="83">
        <f t="shared" ref="P107" si="238">+O107/7.5345</f>
        <v>0</v>
      </c>
    </row>
    <row r="108" spans="1:16" x14ac:dyDescent="0.25">
      <c r="A108" s="45">
        <v>4</v>
      </c>
      <c r="B108" s="52"/>
      <c r="C108" s="52"/>
      <c r="D108" s="46" t="s">
        <v>5</v>
      </c>
      <c r="E108" s="47">
        <v>3000</v>
      </c>
      <c r="F108" s="47">
        <f>+F109</f>
        <v>1583.05</v>
      </c>
      <c r="G108" s="47">
        <v>0</v>
      </c>
      <c r="H108" s="47">
        <f t="shared" ref="H108" si="239">+G108/7.5345</f>
        <v>0</v>
      </c>
      <c r="I108" s="47">
        <v>0</v>
      </c>
      <c r="J108" s="47">
        <v>0</v>
      </c>
      <c r="K108" s="47">
        <f t="shared" si="226"/>
        <v>0</v>
      </c>
      <c r="L108" s="47">
        <v>0</v>
      </c>
      <c r="M108" s="47">
        <v>0</v>
      </c>
      <c r="N108" s="47">
        <f t="shared" ref="N108" si="240">+M108/7.5345</f>
        <v>0</v>
      </c>
      <c r="O108" s="47">
        <v>0</v>
      </c>
      <c r="P108" s="55">
        <f t="shared" ref="P108" si="241">+O108/7.5345</f>
        <v>0</v>
      </c>
    </row>
    <row r="109" spans="1:16" x14ac:dyDescent="0.25">
      <c r="A109" s="45">
        <v>42</v>
      </c>
      <c r="B109" s="52"/>
      <c r="C109" s="52"/>
      <c r="D109" s="46" t="s">
        <v>115</v>
      </c>
      <c r="E109" s="47">
        <v>3000</v>
      </c>
      <c r="F109" s="47">
        <v>1583.05</v>
      </c>
      <c r="G109" s="47">
        <v>0</v>
      </c>
      <c r="H109" s="47">
        <f t="shared" ref="H109" si="242">+G109/7.5345</f>
        <v>0</v>
      </c>
      <c r="I109" s="47">
        <v>0</v>
      </c>
      <c r="J109" s="47">
        <v>0</v>
      </c>
      <c r="K109" s="47">
        <f t="shared" si="226"/>
        <v>0</v>
      </c>
      <c r="L109" s="47">
        <v>0</v>
      </c>
      <c r="M109" s="47">
        <v>0</v>
      </c>
      <c r="N109" s="47">
        <f t="shared" ref="N109" si="243">+M109/7.5345</f>
        <v>0</v>
      </c>
      <c r="O109" s="47">
        <v>0</v>
      </c>
      <c r="P109" s="55">
        <f t="shared" ref="P109" si="244">+O109/7.5345</f>
        <v>0</v>
      </c>
    </row>
    <row r="110" spans="1:16" s="80" customFormat="1" x14ac:dyDescent="0.25">
      <c r="A110" s="125">
        <v>53082</v>
      </c>
      <c r="B110" s="126"/>
      <c r="C110" s="78"/>
      <c r="D110" s="82" t="s">
        <v>86</v>
      </c>
      <c r="E110" s="82">
        <v>3250</v>
      </c>
      <c r="F110" s="82">
        <f>+F111</f>
        <v>431.35</v>
      </c>
      <c r="G110" s="82">
        <v>0</v>
      </c>
      <c r="H110" s="82">
        <f t="shared" ref="H110" si="245">+G110/7.5345</f>
        <v>0</v>
      </c>
      <c r="I110" s="82">
        <v>0</v>
      </c>
      <c r="J110" s="82">
        <f>SUM(J111:J112)</f>
        <v>0</v>
      </c>
      <c r="K110" s="82">
        <f t="shared" si="226"/>
        <v>0</v>
      </c>
      <c r="L110" s="82">
        <f>SUM(L111:L112)</f>
        <v>0</v>
      </c>
      <c r="M110" s="82">
        <v>0</v>
      </c>
      <c r="N110" s="82">
        <f t="shared" ref="N110" si="246">+M110/7.5345</f>
        <v>0</v>
      </c>
      <c r="O110" s="82">
        <v>0</v>
      </c>
      <c r="P110" s="83">
        <f t="shared" ref="P110" si="247">+O110/7.5345</f>
        <v>0</v>
      </c>
    </row>
    <row r="111" spans="1:16" x14ac:dyDescent="0.25">
      <c r="A111" s="45">
        <v>4</v>
      </c>
      <c r="B111" s="52"/>
      <c r="C111" s="52"/>
      <c r="D111" s="46" t="s">
        <v>5</v>
      </c>
      <c r="E111" s="47">
        <v>3250</v>
      </c>
      <c r="F111" s="47">
        <f>+F112</f>
        <v>431.35</v>
      </c>
      <c r="G111" s="47">
        <v>0</v>
      </c>
      <c r="H111" s="47">
        <f t="shared" ref="H111" si="248">+G111/7.5345</f>
        <v>0</v>
      </c>
      <c r="I111" s="47">
        <v>0</v>
      </c>
      <c r="J111" s="47">
        <v>0</v>
      </c>
      <c r="K111" s="47">
        <f t="shared" si="226"/>
        <v>0</v>
      </c>
      <c r="L111" s="47">
        <v>0</v>
      </c>
      <c r="M111" s="47">
        <v>0</v>
      </c>
      <c r="N111" s="47">
        <f t="shared" ref="N111" si="249">+M111/7.5345</f>
        <v>0</v>
      </c>
      <c r="O111" s="47">
        <v>0</v>
      </c>
      <c r="P111" s="55">
        <f t="shared" ref="P111" si="250">+O111/7.5345</f>
        <v>0</v>
      </c>
    </row>
    <row r="112" spans="1:16" x14ac:dyDescent="0.25">
      <c r="A112" s="45">
        <v>42</v>
      </c>
      <c r="B112" s="52"/>
      <c r="C112" s="52"/>
      <c r="D112" s="46" t="s">
        <v>115</v>
      </c>
      <c r="E112" s="50">
        <v>3250</v>
      </c>
      <c r="F112" s="50">
        <v>431.35</v>
      </c>
      <c r="G112" s="50">
        <v>0</v>
      </c>
      <c r="H112" s="50">
        <f t="shared" ref="H112:H116" si="251">+G112/7.5345</f>
        <v>0</v>
      </c>
      <c r="I112" s="50">
        <v>0</v>
      </c>
      <c r="J112" s="50">
        <v>0</v>
      </c>
      <c r="K112" s="50">
        <f t="shared" si="226"/>
        <v>0</v>
      </c>
      <c r="L112" s="50">
        <v>0</v>
      </c>
      <c r="M112" s="50">
        <v>0</v>
      </c>
      <c r="N112" s="50">
        <f t="shared" ref="N112:N116" si="252">+M112/7.5345</f>
        <v>0</v>
      </c>
      <c r="O112" s="50">
        <v>0</v>
      </c>
      <c r="P112" s="56">
        <f t="shared" ref="P112:P116" si="253">+O112/7.5345</f>
        <v>0</v>
      </c>
    </row>
    <row r="113" spans="1:16" s="80" customFormat="1" x14ac:dyDescent="0.25">
      <c r="A113" s="127" t="s">
        <v>117</v>
      </c>
      <c r="B113" s="128"/>
      <c r="C113" s="78"/>
      <c r="D113" s="72" t="s">
        <v>118</v>
      </c>
      <c r="E113" s="73">
        <f>+E114</f>
        <v>0</v>
      </c>
      <c r="F113" s="73">
        <f>+F114</f>
        <v>0</v>
      </c>
      <c r="G113" s="73">
        <f t="shared" ref="G113" si="254">+F113/7.5345</f>
        <v>0</v>
      </c>
      <c r="H113" s="73">
        <f t="shared" si="251"/>
        <v>0</v>
      </c>
      <c r="I113" s="73">
        <f>+H113/7.5345</f>
        <v>0</v>
      </c>
      <c r="J113" s="73">
        <f>+J114</f>
        <v>330</v>
      </c>
      <c r="K113" s="73">
        <f t="shared" si="226"/>
        <v>0</v>
      </c>
      <c r="L113" s="73">
        <f>+L114</f>
        <v>330</v>
      </c>
      <c r="M113" s="73">
        <f t="shared" ref="M113" si="255">+J113/7.5345</f>
        <v>43.798526776826598</v>
      </c>
      <c r="N113" s="73">
        <f t="shared" si="252"/>
        <v>5.8130634782436257</v>
      </c>
      <c r="O113" s="73">
        <f t="shared" ref="O113" si="256">+O114+O117</f>
        <v>0</v>
      </c>
      <c r="P113" s="74">
        <f t="shared" si="253"/>
        <v>0</v>
      </c>
    </row>
    <row r="114" spans="1:16" s="80" customFormat="1" x14ac:dyDescent="0.25">
      <c r="A114" s="125">
        <v>11001</v>
      </c>
      <c r="B114" s="126"/>
      <c r="C114" s="79"/>
      <c r="D114" s="71" t="s">
        <v>90</v>
      </c>
      <c r="E114" s="82"/>
      <c r="F114" s="82">
        <f>+F115</f>
        <v>0</v>
      </c>
      <c r="G114" s="82">
        <v>0</v>
      </c>
      <c r="H114" s="82">
        <f t="shared" si="251"/>
        <v>0</v>
      </c>
      <c r="I114" s="82">
        <v>0</v>
      </c>
      <c r="J114" s="82">
        <f>+J115</f>
        <v>330</v>
      </c>
      <c r="K114" s="82">
        <f t="shared" si="226"/>
        <v>0</v>
      </c>
      <c r="L114" s="82">
        <f>+L115</f>
        <v>330</v>
      </c>
      <c r="M114" s="82">
        <v>0</v>
      </c>
      <c r="N114" s="82">
        <f t="shared" si="252"/>
        <v>0</v>
      </c>
      <c r="O114" s="82">
        <v>0</v>
      </c>
      <c r="P114" s="83">
        <f t="shared" si="253"/>
        <v>0</v>
      </c>
    </row>
    <row r="115" spans="1:16" x14ac:dyDescent="0.25">
      <c r="A115" s="45">
        <v>4</v>
      </c>
      <c r="B115" s="52"/>
      <c r="C115" s="52"/>
      <c r="D115" s="46" t="s">
        <v>5</v>
      </c>
      <c r="E115" s="47"/>
      <c r="F115" s="47">
        <f>+F116</f>
        <v>0</v>
      </c>
      <c r="G115" s="47">
        <v>0</v>
      </c>
      <c r="H115" s="47">
        <f t="shared" si="251"/>
        <v>0</v>
      </c>
      <c r="I115" s="47">
        <v>0</v>
      </c>
      <c r="J115" s="47">
        <f>+J116</f>
        <v>330</v>
      </c>
      <c r="K115" s="47">
        <f t="shared" si="226"/>
        <v>0</v>
      </c>
      <c r="L115" s="47">
        <f>+L116</f>
        <v>330</v>
      </c>
      <c r="M115" s="47">
        <v>0</v>
      </c>
      <c r="N115" s="47">
        <f t="shared" si="252"/>
        <v>0</v>
      </c>
      <c r="O115" s="47">
        <v>0</v>
      </c>
      <c r="P115" s="55">
        <f t="shared" si="253"/>
        <v>0</v>
      </c>
    </row>
    <row r="116" spans="1:16" x14ac:dyDescent="0.25">
      <c r="A116" s="45">
        <v>42</v>
      </c>
      <c r="B116" s="52"/>
      <c r="C116" s="52"/>
      <c r="D116" s="46" t="s">
        <v>115</v>
      </c>
      <c r="E116" s="47"/>
      <c r="F116" s="50">
        <v>0</v>
      </c>
      <c r="G116" s="50">
        <v>0</v>
      </c>
      <c r="H116" s="50">
        <f t="shared" si="251"/>
        <v>0</v>
      </c>
      <c r="I116" s="50">
        <v>0</v>
      </c>
      <c r="J116" s="50">
        <v>330</v>
      </c>
      <c r="K116" s="50">
        <f t="shared" si="226"/>
        <v>0</v>
      </c>
      <c r="L116" s="50">
        <v>330</v>
      </c>
      <c r="M116" s="50">
        <v>0</v>
      </c>
      <c r="N116" s="50">
        <f t="shared" si="252"/>
        <v>0</v>
      </c>
      <c r="O116" s="50">
        <v>0</v>
      </c>
      <c r="P116" s="56">
        <f t="shared" si="253"/>
        <v>0</v>
      </c>
    </row>
    <row r="117" spans="1:16" ht="16.5" x14ac:dyDescent="0.25">
      <c r="A117" s="129">
        <v>9108</v>
      </c>
      <c r="B117" s="130"/>
      <c r="C117" s="131"/>
      <c r="D117" s="69" t="s">
        <v>109</v>
      </c>
      <c r="E117" s="70">
        <v>7160.1399999999994</v>
      </c>
      <c r="F117" s="70">
        <f>+F118+F123</f>
        <v>3216.5</v>
      </c>
      <c r="G117" s="70">
        <v>24361</v>
      </c>
      <c r="H117" s="70">
        <f t="shared" ref="H117" si="257">+G117/7.5345</f>
        <v>3233.2603357887051</v>
      </c>
      <c r="I117" s="70">
        <v>0</v>
      </c>
      <c r="J117" s="70">
        <v>0</v>
      </c>
      <c r="K117" s="70">
        <f t="shared" si="226"/>
        <v>0</v>
      </c>
      <c r="L117" s="70">
        <v>0</v>
      </c>
      <c r="M117" s="70">
        <v>0</v>
      </c>
      <c r="N117" s="70">
        <f t="shared" ref="N117" si="258">+M117/7.5345</f>
        <v>0</v>
      </c>
      <c r="O117" s="70">
        <v>0</v>
      </c>
      <c r="P117" s="85">
        <f t="shared" ref="P117" si="259">+O117/7.5345</f>
        <v>0</v>
      </c>
    </row>
    <row r="118" spans="1:16" s="80" customFormat="1" x14ac:dyDescent="0.25">
      <c r="A118" s="127" t="s">
        <v>110</v>
      </c>
      <c r="B118" s="128"/>
      <c r="C118" s="78"/>
      <c r="D118" s="72" t="s">
        <v>111</v>
      </c>
      <c r="E118" s="82">
        <v>7160.1399999999994</v>
      </c>
      <c r="F118" s="82">
        <f>+F119</f>
        <v>624.74</v>
      </c>
      <c r="G118" s="82">
        <v>24361</v>
      </c>
      <c r="H118" s="82">
        <f t="shared" ref="H118" si="260">+G118/7.5345</f>
        <v>3233.2603357887051</v>
      </c>
      <c r="I118" s="82">
        <v>0</v>
      </c>
      <c r="J118" s="82">
        <v>0</v>
      </c>
      <c r="K118" s="82">
        <f t="shared" si="226"/>
        <v>0</v>
      </c>
      <c r="L118" s="82">
        <v>0</v>
      </c>
      <c r="M118" s="82">
        <v>0</v>
      </c>
      <c r="N118" s="82">
        <f t="shared" ref="N118" si="261">+M118/7.5345</f>
        <v>0</v>
      </c>
      <c r="O118" s="82">
        <v>0</v>
      </c>
      <c r="P118" s="83">
        <f t="shared" ref="P118" si="262">+O118/7.5345</f>
        <v>0</v>
      </c>
    </row>
    <row r="119" spans="1:16" s="80" customFormat="1" x14ac:dyDescent="0.25">
      <c r="A119" s="125">
        <v>11001</v>
      </c>
      <c r="B119" s="126"/>
      <c r="C119" s="78"/>
      <c r="D119" s="71" t="s">
        <v>90</v>
      </c>
      <c r="E119" s="82">
        <v>3408.2</v>
      </c>
      <c r="F119" s="82">
        <f>+F120</f>
        <v>624.74</v>
      </c>
      <c r="G119" s="82">
        <v>4833</v>
      </c>
      <c r="H119" s="82">
        <f t="shared" ref="H119" si="263">+G119/7.5345</f>
        <v>641.44933306788766</v>
      </c>
      <c r="I119" s="82">
        <v>0</v>
      </c>
      <c r="J119" s="82">
        <v>0</v>
      </c>
      <c r="K119" s="82">
        <f t="shared" si="226"/>
        <v>0</v>
      </c>
      <c r="L119" s="82">
        <v>0</v>
      </c>
      <c r="M119" s="82">
        <v>0</v>
      </c>
      <c r="N119" s="82">
        <f t="shared" ref="N119" si="264">+M119/7.5345</f>
        <v>0</v>
      </c>
      <c r="O119" s="82">
        <v>0</v>
      </c>
      <c r="P119" s="83">
        <f t="shared" ref="P119" si="265">+O119/7.5345</f>
        <v>0</v>
      </c>
    </row>
    <row r="120" spans="1:16" x14ac:dyDescent="0.25">
      <c r="A120" s="45">
        <v>3</v>
      </c>
      <c r="B120" s="53"/>
      <c r="C120" s="53"/>
      <c r="D120" s="46" t="s">
        <v>22</v>
      </c>
      <c r="E120" s="47">
        <v>3408.2</v>
      </c>
      <c r="F120" s="47">
        <f>SUM(F121:F122)</f>
        <v>624.74</v>
      </c>
      <c r="G120" s="47">
        <v>4833</v>
      </c>
      <c r="H120" s="47">
        <f t="shared" ref="H120" si="266">+G120/7.5345</f>
        <v>641.44933306788766</v>
      </c>
      <c r="I120" s="47">
        <v>0</v>
      </c>
      <c r="J120" s="47">
        <v>0</v>
      </c>
      <c r="K120" s="47">
        <f t="shared" si="226"/>
        <v>0</v>
      </c>
      <c r="L120" s="47">
        <v>0</v>
      </c>
      <c r="M120" s="47">
        <v>0</v>
      </c>
      <c r="N120" s="47">
        <f t="shared" ref="N120" si="267">+M120/7.5345</f>
        <v>0</v>
      </c>
      <c r="O120" s="47">
        <v>0</v>
      </c>
      <c r="P120" s="55">
        <f t="shared" ref="P120" si="268">+O120/7.5345</f>
        <v>0</v>
      </c>
    </row>
    <row r="121" spans="1:16" x14ac:dyDescent="0.25">
      <c r="A121" s="45">
        <v>31</v>
      </c>
      <c r="B121" s="53"/>
      <c r="C121" s="53"/>
      <c r="D121" s="46" t="s">
        <v>25</v>
      </c>
      <c r="E121" s="47">
        <v>3258.02</v>
      </c>
      <c r="F121" s="47">
        <v>624.74</v>
      </c>
      <c r="G121" s="47">
        <v>4678</v>
      </c>
      <c r="H121" s="47">
        <f t="shared" ref="H121" si="269">+G121/7.5345</f>
        <v>620.87729776362062</v>
      </c>
      <c r="I121" s="47">
        <v>0</v>
      </c>
      <c r="J121" s="47">
        <v>0</v>
      </c>
      <c r="K121" s="47">
        <f t="shared" si="226"/>
        <v>0</v>
      </c>
      <c r="L121" s="47">
        <v>0</v>
      </c>
      <c r="M121" s="47">
        <v>0</v>
      </c>
      <c r="N121" s="47">
        <f t="shared" ref="N121" si="270">+M121/7.5345</f>
        <v>0</v>
      </c>
      <c r="O121" s="47">
        <v>0</v>
      </c>
      <c r="P121" s="55">
        <f t="shared" ref="P121" si="271">+O121/7.5345</f>
        <v>0</v>
      </c>
    </row>
    <row r="122" spans="1:16" x14ac:dyDescent="0.25">
      <c r="A122" s="45">
        <v>32</v>
      </c>
      <c r="B122" s="53"/>
      <c r="C122" s="53"/>
      <c r="D122" s="49" t="s">
        <v>40</v>
      </c>
      <c r="E122" s="47">
        <v>150.18</v>
      </c>
      <c r="F122" s="47">
        <v>0</v>
      </c>
      <c r="G122" s="47">
        <v>155</v>
      </c>
      <c r="H122" s="47">
        <f t="shared" ref="H122" si="272">+G122/7.5345</f>
        <v>20.572035304267036</v>
      </c>
      <c r="I122" s="47">
        <v>0</v>
      </c>
      <c r="J122" s="47">
        <v>0</v>
      </c>
      <c r="K122" s="47">
        <f t="shared" si="226"/>
        <v>0</v>
      </c>
      <c r="L122" s="47">
        <v>0</v>
      </c>
      <c r="M122" s="47">
        <v>0</v>
      </c>
      <c r="N122" s="47">
        <f t="shared" ref="N122" si="273">+M122/7.5345</f>
        <v>0</v>
      </c>
      <c r="O122" s="47">
        <v>0</v>
      </c>
      <c r="P122" s="55">
        <f t="shared" ref="P122" si="274">+O122/7.5345</f>
        <v>0</v>
      </c>
    </row>
    <row r="123" spans="1:16" s="80" customFormat="1" x14ac:dyDescent="0.25">
      <c r="A123" s="125">
        <v>51100</v>
      </c>
      <c r="B123" s="126"/>
      <c r="C123" s="78"/>
      <c r="D123" s="71" t="s">
        <v>112</v>
      </c>
      <c r="E123" s="82">
        <v>3751.94</v>
      </c>
      <c r="F123" s="82">
        <f>+F124</f>
        <v>2591.7599999999998</v>
      </c>
      <c r="G123" s="82">
        <v>19528</v>
      </c>
      <c r="H123" s="82">
        <f t="shared" ref="H123" si="275">+G123/7.5345</f>
        <v>2591.8110027208172</v>
      </c>
      <c r="I123" s="82">
        <v>0</v>
      </c>
      <c r="J123" s="82">
        <v>0</v>
      </c>
      <c r="K123" s="82">
        <f t="shared" si="226"/>
        <v>0</v>
      </c>
      <c r="L123" s="82">
        <v>0</v>
      </c>
      <c r="M123" s="82">
        <v>0</v>
      </c>
      <c r="N123" s="82">
        <f t="shared" ref="N123" si="276">+M123/7.5345</f>
        <v>0</v>
      </c>
      <c r="O123" s="82">
        <v>0</v>
      </c>
      <c r="P123" s="83">
        <f t="shared" ref="P123" si="277">+O123/7.5345</f>
        <v>0</v>
      </c>
    </row>
    <row r="124" spans="1:16" x14ac:dyDescent="0.25">
      <c r="A124" s="45">
        <v>3</v>
      </c>
      <c r="B124" s="53"/>
      <c r="C124" s="53"/>
      <c r="D124" s="46" t="s">
        <v>22</v>
      </c>
      <c r="E124" s="47">
        <v>3751.94</v>
      </c>
      <c r="F124" s="47">
        <f>SUM(F125:F126)</f>
        <v>2591.7599999999998</v>
      </c>
      <c r="G124" s="47">
        <v>19528</v>
      </c>
      <c r="H124" s="47">
        <f t="shared" ref="H124" si="278">+G124/7.5345</f>
        <v>2591.8110027208172</v>
      </c>
      <c r="I124" s="47">
        <v>0</v>
      </c>
      <c r="J124" s="47">
        <v>0</v>
      </c>
      <c r="K124" s="47">
        <f t="shared" si="226"/>
        <v>0</v>
      </c>
      <c r="L124" s="47">
        <v>0</v>
      </c>
      <c r="M124" s="47">
        <v>0</v>
      </c>
      <c r="N124" s="47">
        <f t="shared" ref="N124" si="279">+M124/7.5345</f>
        <v>0</v>
      </c>
      <c r="O124" s="47">
        <v>0</v>
      </c>
      <c r="P124" s="55">
        <f t="shared" ref="P124" si="280">+O124/7.5345</f>
        <v>0</v>
      </c>
    </row>
    <row r="125" spans="1:16" ht="15.6" customHeight="1" x14ac:dyDescent="0.25">
      <c r="A125" s="45">
        <v>31</v>
      </c>
      <c r="B125" s="53"/>
      <c r="C125" s="53"/>
      <c r="D125" s="46" t="s">
        <v>25</v>
      </c>
      <c r="E125" s="47">
        <v>3586.62</v>
      </c>
      <c r="F125" s="47">
        <v>2518.12</v>
      </c>
      <c r="G125" s="47">
        <v>18901</v>
      </c>
      <c r="H125" s="47">
        <f t="shared" ref="H125" si="281">+G125/7.5345</f>
        <v>2508.5938018448469</v>
      </c>
      <c r="I125" s="47">
        <v>0</v>
      </c>
      <c r="J125" s="47">
        <v>0</v>
      </c>
      <c r="K125" s="47">
        <f t="shared" si="226"/>
        <v>0</v>
      </c>
      <c r="L125" s="47">
        <v>0</v>
      </c>
      <c r="M125" s="47">
        <v>0</v>
      </c>
      <c r="N125" s="47">
        <f t="shared" ref="N125" si="282">+M125/7.5345</f>
        <v>0</v>
      </c>
      <c r="O125" s="47">
        <v>0</v>
      </c>
      <c r="P125" s="55">
        <f t="shared" ref="P125" si="283">+O125/7.5345</f>
        <v>0</v>
      </c>
    </row>
    <row r="126" spans="1:16" x14ac:dyDescent="0.25">
      <c r="A126" s="48">
        <v>32</v>
      </c>
      <c r="B126" s="54"/>
      <c r="C126" s="54"/>
      <c r="D126" s="49" t="s">
        <v>40</v>
      </c>
      <c r="E126" s="50">
        <v>165.32</v>
      </c>
      <c r="F126" s="50">
        <v>73.64</v>
      </c>
      <c r="G126" s="50">
        <v>627</v>
      </c>
      <c r="H126" s="50">
        <f t="shared" ref="H126" si="284">+G126/7.5345</f>
        <v>83.217200875970534</v>
      </c>
      <c r="I126" s="50">
        <v>0</v>
      </c>
      <c r="J126" s="50">
        <v>0</v>
      </c>
      <c r="K126" s="50">
        <f t="shared" si="226"/>
        <v>0</v>
      </c>
      <c r="L126" s="50">
        <v>0</v>
      </c>
      <c r="M126" s="50">
        <v>0</v>
      </c>
      <c r="N126" s="50">
        <f t="shared" ref="N126" si="285">+M126/7.5345</f>
        <v>0</v>
      </c>
      <c r="O126" s="50">
        <v>0</v>
      </c>
      <c r="P126" s="56">
        <f t="shared" ref="P126" si="286">+O126/7.5345</f>
        <v>0</v>
      </c>
    </row>
    <row r="127" spans="1:16" x14ac:dyDescent="0.25">
      <c r="E127" s="81"/>
      <c r="F127" s="81"/>
      <c r="G127" s="81"/>
      <c r="H127" s="81"/>
      <c r="I127" s="81"/>
      <c r="J127" s="81"/>
      <c r="K127" s="81"/>
      <c r="L127" s="81"/>
      <c r="M127" s="51"/>
      <c r="N127" s="51"/>
      <c r="O127" s="51"/>
      <c r="P127" s="51"/>
    </row>
    <row r="128" spans="1:16" x14ac:dyDescent="0.25"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5:16" x14ac:dyDescent="0.25"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5:16" x14ac:dyDescent="0.25"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5:16" x14ac:dyDescent="0.25"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5:16" x14ac:dyDescent="0.25"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5:16" x14ac:dyDescent="0.25"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5:16" x14ac:dyDescent="0.25"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5:16" x14ac:dyDescent="0.25"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5:16" x14ac:dyDescent="0.25"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5:16" x14ac:dyDescent="0.25"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5:16" x14ac:dyDescent="0.25"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5:16" x14ac:dyDescent="0.25"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5:16" x14ac:dyDescent="0.25"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</sheetData>
  <mergeCells count="61">
    <mergeCell ref="A14:C14"/>
    <mergeCell ref="A1:O1"/>
    <mergeCell ref="A3:O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31:C31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7:C27"/>
    <mergeCell ref="A28:C28"/>
    <mergeCell ref="A67:C67"/>
    <mergeCell ref="A32:C32"/>
    <mergeCell ref="A38:C38"/>
    <mergeCell ref="A43:C43"/>
    <mergeCell ref="A46:C46"/>
    <mergeCell ref="A47:C47"/>
    <mergeCell ref="A52:C52"/>
    <mergeCell ref="A53:C53"/>
    <mergeCell ref="A54:C54"/>
    <mergeCell ref="A57:C57"/>
    <mergeCell ref="A58:C58"/>
    <mergeCell ref="A66:C66"/>
    <mergeCell ref="A62:C62"/>
    <mergeCell ref="A63:C63"/>
    <mergeCell ref="A107:B107"/>
    <mergeCell ref="A70:C70"/>
    <mergeCell ref="A74:C74"/>
    <mergeCell ref="A79:C79"/>
    <mergeCell ref="A86:C86"/>
    <mergeCell ref="A87:C87"/>
    <mergeCell ref="A90:C90"/>
    <mergeCell ref="A91:C91"/>
    <mergeCell ref="A99:C99"/>
    <mergeCell ref="A100:C100"/>
    <mergeCell ref="A101:C101"/>
    <mergeCell ref="A106:B106"/>
    <mergeCell ref="A71:B71"/>
    <mergeCell ref="A95:C95"/>
    <mergeCell ref="A96:C96"/>
    <mergeCell ref="A94:C94"/>
    <mergeCell ref="A110:B110"/>
    <mergeCell ref="A118:B118"/>
    <mergeCell ref="A119:B119"/>
    <mergeCell ref="A123:B123"/>
    <mergeCell ref="A117:C117"/>
    <mergeCell ref="A113:B113"/>
    <mergeCell ref="A114:B114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  <rowBreaks count="1" manualBreakCount="1">
    <brk id="8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zoomScale="90" zoomScaleNormal="90" workbookViewId="0">
      <selection activeCell="E101" sqref="E101"/>
    </sheetView>
  </sheetViews>
  <sheetFormatPr defaultColWidth="8.85546875" defaultRowHeight="15" x14ac:dyDescent="0.25"/>
  <cols>
    <col min="1" max="1" width="12" style="58" customWidth="1"/>
    <col min="2" max="2" width="8.42578125" style="58" hidden="1" customWidth="1"/>
    <col min="3" max="3" width="8.7109375" style="58" hidden="1" customWidth="1"/>
    <col min="4" max="4" width="39.140625" style="58" bestFit="1" customWidth="1"/>
    <col min="5" max="9" width="25.28515625" style="58" customWidth="1"/>
    <col min="10" max="16384" width="8.85546875" style="58"/>
  </cols>
  <sheetData>
    <row r="1" spans="1:9" ht="42" customHeight="1" x14ac:dyDescent="0.25">
      <c r="A1" s="103" t="s">
        <v>64</v>
      </c>
      <c r="B1" s="103"/>
      <c r="C1" s="103"/>
      <c r="D1" s="103"/>
      <c r="E1" s="103"/>
      <c r="F1" s="103"/>
      <c r="G1" s="103"/>
      <c r="H1" s="103"/>
      <c r="I1" s="103"/>
    </row>
    <row r="2" spans="1:9" ht="17.45" x14ac:dyDescent="0.3">
      <c r="A2" s="28"/>
      <c r="B2" s="28"/>
      <c r="C2" s="28"/>
      <c r="D2" s="28"/>
      <c r="E2" s="28"/>
      <c r="F2" s="28"/>
      <c r="G2" s="28"/>
      <c r="H2" s="5"/>
      <c r="I2" s="5"/>
    </row>
    <row r="3" spans="1:9" ht="18" customHeight="1" x14ac:dyDescent="0.3">
      <c r="A3" s="103" t="s">
        <v>36</v>
      </c>
      <c r="B3" s="151"/>
      <c r="C3" s="151"/>
      <c r="D3" s="151"/>
      <c r="E3" s="151"/>
      <c r="F3" s="151"/>
      <c r="G3" s="151"/>
      <c r="H3" s="151"/>
      <c r="I3" s="151"/>
    </row>
    <row r="4" spans="1:9" ht="17.45" x14ac:dyDescent="0.3">
      <c r="A4" s="28"/>
      <c r="B4" s="28"/>
      <c r="C4" s="28"/>
      <c r="D4" s="28"/>
      <c r="E4" s="28"/>
      <c r="F4" s="28"/>
      <c r="G4" s="28"/>
      <c r="H4" s="5"/>
      <c r="I4" s="5"/>
    </row>
    <row r="5" spans="1:9" ht="25.5" x14ac:dyDescent="0.25">
      <c r="A5" s="152" t="s">
        <v>38</v>
      </c>
      <c r="B5" s="153"/>
      <c r="C5" s="154"/>
      <c r="D5" s="59" t="s">
        <v>39</v>
      </c>
      <c r="E5" s="59" t="s">
        <v>12</v>
      </c>
      <c r="F5" s="60" t="s">
        <v>13</v>
      </c>
      <c r="G5" s="60" t="s">
        <v>57</v>
      </c>
      <c r="H5" s="60" t="s">
        <v>58</v>
      </c>
      <c r="I5" s="60" t="s">
        <v>59</v>
      </c>
    </row>
    <row r="6" spans="1:9" ht="14.45" hidden="1" x14ac:dyDescent="0.3">
      <c r="A6" s="155" t="s">
        <v>45</v>
      </c>
      <c r="B6" s="156"/>
      <c r="C6" s="157"/>
      <c r="D6" s="61" t="s">
        <v>46</v>
      </c>
      <c r="E6" s="62"/>
      <c r="F6" s="63"/>
      <c r="G6" s="63"/>
      <c r="H6" s="63"/>
      <c r="I6" s="63"/>
    </row>
    <row r="7" spans="1:9" ht="14.45" hidden="1" x14ac:dyDescent="0.3">
      <c r="A7" s="155" t="s">
        <v>47</v>
      </c>
      <c r="B7" s="156"/>
      <c r="C7" s="157"/>
      <c r="D7" s="61" t="s">
        <v>48</v>
      </c>
      <c r="E7" s="62"/>
      <c r="F7" s="63"/>
      <c r="G7" s="63"/>
      <c r="H7" s="63"/>
      <c r="I7" s="63"/>
    </row>
    <row r="8" spans="1:9" ht="14.45" hidden="1" x14ac:dyDescent="0.3">
      <c r="A8" s="148" t="s">
        <v>49</v>
      </c>
      <c r="B8" s="149"/>
      <c r="C8" s="150"/>
      <c r="D8" s="64" t="s">
        <v>50</v>
      </c>
      <c r="E8" s="62"/>
      <c r="F8" s="63"/>
      <c r="G8" s="63"/>
      <c r="H8" s="63"/>
      <c r="I8" s="65"/>
    </row>
    <row r="9" spans="1:9" ht="14.45" hidden="1" x14ac:dyDescent="0.3">
      <c r="A9" s="142">
        <v>3</v>
      </c>
      <c r="B9" s="143"/>
      <c r="C9" s="144"/>
      <c r="D9" s="66" t="s">
        <v>24</v>
      </c>
      <c r="E9" s="62"/>
      <c r="F9" s="63"/>
      <c r="G9" s="63"/>
      <c r="H9" s="63"/>
      <c r="I9" s="65"/>
    </row>
    <row r="10" spans="1:9" ht="14.45" hidden="1" x14ac:dyDescent="0.3">
      <c r="A10" s="145">
        <v>31</v>
      </c>
      <c r="B10" s="146"/>
      <c r="C10" s="147"/>
      <c r="D10" s="66" t="s">
        <v>25</v>
      </c>
      <c r="E10" s="62"/>
      <c r="F10" s="63"/>
      <c r="G10" s="63"/>
      <c r="H10" s="63"/>
      <c r="I10" s="65"/>
    </row>
    <row r="11" spans="1:9" ht="14.45" hidden="1" x14ac:dyDescent="0.3">
      <c r="A11" s="145">
        <v>32</v>
      </c>
      <c r="B11" s="146"/>
      <c r="C11" s="147"/>
      <c r="D11" s="66" t="s">
        <v>40</v>
      </c>
      <c r="E11" s="62"/>
      <c r="F11" s="63"/>
      <c r="G11" s="63"/>
      <c r="H11" s="63"/>
      <c r="I11" s="65"/>
    </row>
    <row r="12" spans="1:9" ht="14.45" hidden="1" x14ac:dyDescent="0.3">
      <c r="A12" s="155" t="s">
        <v>45</v>
      </c>
      <c r="B12" s="156"/>
      <c r="C12" s="157"/>
      <c r="D12" s="61" t="s">
        <v>46</v>
      </c>
      <c r="E12" s="62"/>
      <c r="F12" s="63"/>
      <c r="G12" s="63"/>
      <c r="H12" s="63"/>
      <c r="I12" s="63"/>
    </row>
    <row r="13" spans="1:9" ht="14.25" hidden="1" customHeight="1" x14ac:dyDescent="0.3">
      <c r="A13" s="155" t="s">
        <v>51</v>
      </c>
      <c r="B13" s="156"/>
      <c r="C13" s="157"/>
      <c r="D13" s="61" t="s">
        <v>52</v>
      </c>
      <c r="E13" s="62"/>
      <c r="F13" s="63"/>
      <c r="G13" s="63"/>
      <c r="H13" s="63"/>
      <c r="I13" s="63"/>
    </row>
    <row r="14" spans="1:9" ht="15" hidden="1" customHeight="1" x14ac:dyDescent="0.3">
      <c r="A14" s="148" t="s">
        <v>49</v>
      </c>
      <c r="B14" s="149"/>
      <c r="C14" s="150"/>
      <c r="D14" s="64" t="s">
        <v>50</v>
      </c>
      <c r="E14" s="62"/>
      <c r="F14" s="63"/>
      <c r="G14" s="63"/>
      <c r="H14" s="63"/>
      <c r="I14" s="65"/>
    </row>
    <row r="15" spans="1:9" ht="14.45" hidden="1" x14ac:dyDescent="0.3">
      <c r="A15" s="142">
        <v>3</v>
      </c>
      <c r="B15" s="143"/>
      <c r="C15" s="144"/>
      <c r="D15" s="66" t="s">
        <v>24</v>
      </c>
      <c r="E15" s="62"/>
      <c r="F15" s="63"/>
      <c r="G15" s="63"/>
      <c r="H15" s="63"/>
      <c r="I15" s="65"/>
    </row>
    <row r="16" spans="1:9" ht="14.45" hidden="1" x14ac:dyDescent="0.3">
      <c r="A16" s="145">
        <v>32</v>
      </c>
      <c r="B16" s="146"/>
      <c r="C16" s="147"/>
      <c r="D16" s="66" t="s">
        <v>40</v>
      </c>
      <c r="E16" s="62"/>
      <c r="F16" s="63"/>
      <c r="G16" s="63"/>
      <c r="H16" s="63"/>
      <c r="I16" s="65"/>
    </row>
    <row r="17" spans="1:15" ht="15" hidden="1" customHeight="1" x14ac:dyDescent="0.3">
      <c r="A17" s="148" t="s">
        <v>49</v>
      </c>
      <c r="B17" s="149"/>
      <c r="C17" s="150"/>
      <c r="D17" s="64" t="s">
        <v>50</v>
      </c>
      <c r="E17" s="62"/>
      <c r="F17" s="63"/>
      <c r="G17" s="63"/>
      <c r="H17" s="63"/>
      <c r="I17" s="65"/>
    </row>
    <row r="18" spans="1:15" ht="26.45" hidden="1" x14ac:dyDescent="0.3">
      <c r="A18" s="142">
        <v>4</v>
      </c>
      <c r="B18" s="143"/>
      <c r="C18" s="144"/>
      <c r="D18" s="66" t="s">
        <v>26</v>
      </c>
      <c r="E18" s="62"/>
      <c r="F18" s="63"/>
      <c r="G18" s="63"/>
      <c r="H18" s="63"/>
      <c r="I18" s="65"/>
    </row>
    <row r="19" spans="1:15" ht="26.45" hidden="1" x14ac:dyDescent="0.3">
      <c r="A19" s="145">
        <v>42</v>
      </c>
      <c r="B19" s="146"/>
      <c r="C19" s="147"/>
      <c r="D19" s="66" t="s">
        <v>65</v>
      </c>
      <c r="E19" s="62"/>
      <c r="F19" s="63"/>
      <c r="G19" s="63"/>
      <c r="H19" s="63"/>
      <c r="I19" s="65"/>
    </row>
    <row r="20" spans="1:15" s="57" customFormat="1" ht="16.5" x14ac:dyDescent="0.25">
      <c r="A20" s="129" t="s">
        <v>113</v>
      </c>
      <c r="B20" s="130"/>
      <c r="C20" s="131"/>
      <c r="D20" s="67" t="s">
        <v>114</v>
      </c>
      <c r="E20" s="68">
        <f>+E21+E47+E82+E94</f>
        <v>5590000.71</v>
      </c>
      <c r="F20" s="68">
        <f>+F21+F47+F82+F94</f>
        <v>7014703</v>
      </c>
      <c r="G20" s="68">
        <f>+G21+G47+G82+G94</f>
        <v>6998739.9799999995</v>
      </c>
      <c r="H20" s="68">
        <f>+H21+H47+H82+H94</f>
        <v>5554621.7699999996</v>
      </c>
      <c r="I20" s="84">
        <f>+I21+I47+I82+I94</f>
        <v>5554621.7699999996</v>
      </c>
      <c r="J20" s="58"/>
      <c r="K20" s="58"/>
      <c r="L20" s="58"/>
      <c r="M20" s="58"/>
      <c r="N20" s="58"/>
      <c r="O20" s="58"/>
    </row>
    <row r="21" spans="1:15" ht="27.6" x14ac:dyDescent="0.3">
      <c r="A21" s="129">
        <v>2201</v>
      </c>
      <c r="B21" s="130"/>
      <c r="C21" s="131"/>
      <c r="D21" s="69" t="s">
        <v>72</v>
      </c>
      <c r="E21" s="70">
        <f>+E22+E27+E31+E41</f>
        <v>5274328.2700000005</v>
      </c>
      <c r="F21" s="70">
        <f t="shared" ref="F21:I21" si="0">+F22+F27+F31+F41</f>
        <v>5407038</v>
      </c>
      <c r="G21" s="70">
        <f t="shared" si="0"/>
        <v>5531844.9799999995</v>
      </c>
      <c r="H21" s="70">
        <f t="shared" si="0"/>
        <v>5522050.1299999999</v>
      </c>
      <c r="I21" s="85">
        <f t="shared" si="0"/>
        <v>5522050.1299999999</v>
      </c>
    </row>
    <row r="22" spans="1:15" s="80" customFormat="1" ht="14.45" x14ac:dyDescent="0.3">
      <c r="A22" s="129" t="s">
        <v>73</v>
      </c>
      <c r="B22" s="130"/>
      <c r="C22" s="131"/>
      <c r="D22" s="71" t="s">
        <v>74</v>
      </c>
      <c r="E22" s="82">
        <f>+E23</f>
        <v>300943.08</v>
      </c>
      <c r="F22" s="82">
        <f t="shared" ref="F22:I22" si="1">+F23</f>
        <v>307489</v>
      </c>
      <c r="G22" s="82">
        <f t="shared" si="1"/>
        <v>307490.48</v>
      </c>
      <c r="H22" s="82">
        <f t="shared" si="1"/>
        <v>307490.48</v>
      </c>
      <c r="I22" s="83">
        <f t="shared" si="1"/>
        <v>307490.48</v>
      </c>
    </row>
    <row r="23" spans="1:15" s="80" customFormat="1" ht="16.5" x14ac:dyDescent="0.25">
      <c r="A23" s="129">
        <v>48007</v>
      </c>
      <c r="B23" s="130"/>
      <c r="C23" s="131"/>
      <c r="D23" s="71" t="s">
        <v>75</v>
      </c>
      <c r="E23" s="82">
        <v>300943.08</v>
      </c>
      <c r="F23" s="82">
        <v>307489</v>
      </c>
      <c r="G23" s="82">
        <v>307490.48</v>
      </c>
      <c r="H23" s="82">
        <v>307490.48</v>
      </c>
      <c r="I23" s="83">
        <v>307490.48</v>
      </c>
    </row>
    <row r="24" spans="1:15" s="81" customFormat="1" ht="14.45" x14ac:dyDescent="0.3">
      <c r="A24" s="45">
        <v>3</v>
      </c>
      <c r="B24" s="53"/>
      <c r="C24" s="53"/>
      <c r="D24" s="46" t="s">
        <v>22</v>
      </c>
      <c r="E24" s="47">
        <v>300943.08</v>
      </c>
      <c r="F24" s="47">
        <v>307489</v>
      </c>
      <c r="G24" s="47">
        <v>307490.48</v>
      </c>
      <c r="H24" s="47">
        <v>307490.48</v>
      </c>
      <c r="I24" s="55">
        <v>307490.48</v>
      </c>
    </row>
    <row r="25" spans="1:15" s="81" customFormat="1" ht="14.45" x14ac:dyDescent="0.3">
      <c r="A25" s="45">
        <v>32</v>
      </c>
      <c r="B25" s="53"/>
      <c r="C25" s="53"/>
      <c r="D25" s="46" t="s">
        <v>40</v>
      </c>
      <c r="E25" s="47">
        <v>296713.47000000003</v>
      </c>
      <c r="F25" s="47">
        <v>304489</v>
      </c>
      <c r="G25" s="47">
        <v>306360.3</v>
      </c>
      <c r="H25" s="47">
        <v>306360.3</v>
      </c>
      <c r="I25" s="55">
        <v>306360.3</v>
      </c>
    </row>
    <row r="26" spans="1:15" s="81" customFormat="1" ht="14.45" x14ac:dyDescent="0.3">
      <c r="A26" s="45">
        <v>34</v>
      </c>
      <c r="B26" s="53"/>
      <c r="C26" s="53"/>
      <c r="D26" s="49" t="s">
        <v>76</v>
      </c>
      <c r="E26" s="47">
        <v>4229.6099999999997</v>
      </c>
      <c r="F26" s="47">
        <v>3000</v>
      </c>
      <c r="G26" s="47">
        <v>1130.18</v>
      </c>
      <c r="H26" s="47">
        <v>1130.18</v>
      </c>
      <c r="I26" s="55">
        <v>1130.18</v>
      </c>
    </row>
    <row r="27" spans="1:15" s="80" customFormat="1" ht="16.5" x14ac:dyDescent="0.25">
      <c r="A27" s="129" t="s">
        <v>77</v>
      </c>
      <c r="B27" s="130"/>
      <c r="C27" s="131"/>
      <c r="D27" s="71" t="s">
        <v>78</v>
      </c>
      <c r="E27" s="82">
        <f>+E28</f>
        <v>235037.32</v>
      </c>
      <c r="F27" s="82">
        <f t="shared" ref="F27:I27" si="2">+F28</f>
        <v>275539</v>
      </c>
      <c r="G27" s="82">
        <f t="shared" si="2"/>
        <v>275536.67</v>
      </c>
      <c r="H27" s="82">
        <f t="shared" si="2"/>
        <v>275536.67</v>
      </c>
      <c r="I27" s="83">
        <f t="shared" si="2"/>
        <v>275536.67</v>
      </c>
    </row>
    <row r="28" spans="1:15" s="80" customFormat="1" ht="16.5" x14ac:dyDescent="0.25">
      <c r="A28" s="129">
        <v>48007</v>
      </c>
      <c r="B28" s="130"/>
      <c r="C28" s="131"/>
      <c r="D28" s="71" t="s">
        <v>75</v>
      </c>
      <c r="E28" s="82">
        <v>235037.32</v>
      </c>
      <c r="F28" s="82">
        <v>275539</v>
      </c>
      <c r="G28" s="82">
        <v>275536.67</v>
      </c>
      <c r="H28" s="82">
        <v>275536.67</v>
      </c>
      <c r="I28" s="83">
        <v>275536.67</v>
      </c>
    </row>
    <row r="29" spans="1:15" s="81" customFormat="1" ht="14.45" x14ac:dyDescent="0.3">
      <c r="A29" s="45">
        <v>3</v>
      </c>
      <c r="B29" s="53"/>
      <c r="C29" s="53"/>
      <c r="D29" s="46" t="s">
        <v>22</v>
      </c>
      <c r="E29" s="47">
        <v>235037.32</v>
      </c>
      <c r="F29" s="47">
        <v>275539</v>
      </c>
      <c r="G29" s="47">
        <v>275536.67</v>
      </c>
      <c r="H29" s="47">
        <v>275536.67</v>
      </c>
      <c r="I29" s="55">
        <v>275536.67</v>
      </c>
    </row>
    <row r="30" spans="1:15" s="81" customFormat="1" ht="14.45" x14ac:dyDescent="0.3">
      <c r="A30" s="45">
        <v>32</v>
      </c>
      <c r="B30" s="53"/>
      <c r="C30" s="53"/>
      <c r="D30" s="46" t="s">
        <v>40</v>
      </c>
      <c r="E30" s="47">
        <v>235037.32</v>
      </c>
      <c r="F30" s="47">
        <v>275539</v>
      </c>
      <c r="G30" s="47">
        <v>275536.67</v>
      </c>
      <c r="H30" s="47">
        <v>275536.67</v>
      </c>
      <c r="I30" s="55">
        <v>275536.67</v>
      </c>
    </row>
    <row r="31" spans="1:15" s="80" customFormat="1" ht="14.45" x14ac:dyDescent="0.3">
      <c r="A31" s="129" t="s">
        <v>79</v>
      </c>
      <c r="B31" s="130"/>
      <c r="C31" s="131"/>
      <c r="D31" s="69" t="s">
        <v>80</v>
      </c>
      <c r="E31" s="82">
        <f>+E32+E35+E38</f>
        <v>57914.430000000008</v>
      </c>
      <c r="F31" s="82">
        <f t="shared" ref="F31:I31" si="3">+F32+F35+F38</f>
        <v>145500</v>
      </c>
      <c r="G31" s="82">
        <f t="shared" si="3"/>
        <v>61036.990000000005</v>
      </c>
      <c r="H31" s="82">
        <f t="shared" si="3"/>
        <v>51242.14</v>
      </c>
      <c r="I31" s="83">
        <f t="shared" si="3"/>
        <v>51242.14</v>
      </c>
    </row>
    <row r="32" spans="1:15" s="80" customFormat="1" ht="16.5" x14ac:dyDescent="0.25">
      <c r="A32" s="129">
        <v>32400</v>
      </c>
      <c r="B32" s="130"/>
      <c r="C32" s="131"/>
      <c r="D32" s="71" t="s">
        <v>81</v>
      </c>
      <c r="E32" s="82">
        <v>40190.240000000005</v>
      </c>
      <c r="F32" s="82">
        <v>65000</v>
      </c>
      <c r="G32" s="82">
        <v>48981.79</v>
      </c>
      <c r="H32" s="82">
        <v>48981.79</v>
      </c>
      <c r="I32" s="83">
        <v>48981.79</v>
      </c>
    </row>
    <row r="33" spans="1:9" s="81" customFormat="1" ht="14.45" x14ac:dyDescent="0.3">
      <c r="A33" s="45">
        <v>3</v>
      </c>
      <c r="B33" s="53"/>
      <c r="C33" s="53"/>
      <c r="D33" s="46" t="s">
        <v>22</v>
      </c>
      <c r="E33" s="47">
        <v>40190.240000000005</v>
      </c>
      <c r="F33" s="47">
        <v>65000</v>
      </c>
      <c r="G33" s="47">
        <v>48981.79</v>
      </c>
      <c r="H33" s="47">
        <v>48981.79</v>
      </c>
      <c r="I33" s="55">
        <v>48981.79</v>
      </c>
    </row>
    <row r="34" spans="1:9" s="81" customFormat="1" ht="14.45" x14ac:dyDescent="0.3">
      <c r="A34" s="45">
        <v>32</v>
      </c>
      <c r="B34" s="53"/>
      <c r="C34" s="53"/>
      <c r="D34" s="49" t="s">
        <v>40</v>
      </c>
      <c r="E34" s="47">
        <v>40190.240000000005</v>
      </c>
      <c r="F34" s="47">
        <v>65000</v>
      </c>
      <c r="G34" s="47">
        <v>48981.79</v>
      </c>
      <c r="H34" s="47">
        <v>48981.79</v>
      </c>
      <c r="I34" s="55">
        <v>48981.79</v>
      </c>
    </row>
    <row r="35" spans="1:9" s="80" customFormat="1" x14ac:dyDescent="0.25">
      <c r="A35" s="125">
        <v>47400</v>
      </c>
      <c r="B35" s="137"/>
      <c r="C35" s="138"/>
      <c r="D35" s="71" t="s">
        <v>82</v>
      </c>
      <c r="E35" s="82">
        <v>7724.19</v>
      </c>
      <c r="F35" s="82">
        <v>80500</v>
      </c>
      <c r="G35" s="82">
        <v>12055.2</v>
      </c>
      <c r="H35" s="82">
        <v>2260.35</v>
      </c>
      <c r="I35" s="83">
        <v>2260.35</v>
      </c>
    </row>
    <row r="36" spans="1:9" ht="14.45" x14ac:dyDescent="0.3">
      <c r="A36" s="45">
        <v>4</v>
      </c>
      <c r="B36" s="52"/>
      <c r="C36" s="52"/>
      <c r="D36" s="46" t="s">
        <v>5</v>
      </c>
      <c r="E36" s="47">
        <f>+E37</f>
        <v>7724.19</v>
      </c>
      <c r="F36" s="47">
        <f t="shared" ref="F36:H36" si="4">+F37</f>
        <v>80500</v>
      </c>
      <c r="G36" s="47">
        <f t="shared" si="4"/>
        <v>12055.2</v>
      </c>
      <c r="H36" s="47">
        <f t="shared" si="4"/>
        <v>2260.35</v>
      </c>
      <c r="I36" s="55">
        <f>+I37</f>
        <v>2260.35</v>
      </c>
    </row>
    <row r="37" spans="1:9" ht="14.45" x14ac:dyDescent="0.3">
      <c r="A37" s="45">
        <v>42</v>
      </c>
      <c r="B37" s="52"/>
      <c r="C37" s="52"/>
      <c r="D37" s="49" t="s">
        <v>115</v>
      </c>
      <c r="E37" s="47">
        <v>7724.19</v>
      </c>
      <c r="F37" s="47">
        <v>80500</v>
      </c>
      <c r="G37" s="47">
        <v>12055.2</v>
      </c>
      <c r="H37" s="47">
        <v>2260.35</v>
      </c>
      <c r="I37" s="55">
        <v>2260.35</v>
      </c>
    </row>
    <row r="38" spans="1:9" s="80" customFormat="1" ht="14.45" x14ac:dyDescent="0.3">
      <c r="A38" s="125">
        <v>62400</v>
      </c>
      <c r="B38" s="126"/>
      <c r="C38" s="133"/>
      <c r="D38" s="71" t="s">
        <v>83</v>
      </c>
      <c r="E38" s="82">
        <v>10000</v>
      </c>
      <c r="F38" s="82">
        <v>0</v>
      </c>
      <c r="G38" s="82">
        <v>0</v>
      </c>
      <c r="H38" s="82">
        <v>0</v>
      </c>
      <c r="I38" s="83">
        <v>0</v>
      </c>
    </row>
    <row r="39" spans="1:9" ht="14.45" x14ac:dyDescent="0.3">
      <c r="A39" s="45">
        <v>3</v>
      </c>
      <c r="B39" s="52"/>
      <c r="C39" s="52"/>
      <c r="D39" s="46" t="s">
        <v>22</v>
      </c>
      <c r="E39" s="47">
        <v>10000</v>
      </c>
      <c r="F39" s="47">
        <v>0</v>
      </c>
      <c r="G39" s="47">
        <v>0</v>
      </c>
      <c r="H39" s="47">
        <v>0</v>
      </c>
      <c r="I39" s="55">
        <v>0</v>
      </c>
    </row>
    <row r="40" spans="1:9" ht="14.45" x14ac:dyDescent="0.3">
      <c r="A40" s="45">
        <v>32</v>
      </c>
      <c r="B40" s="52"/>
      <c r="C40" s="52"/>
      <c r="D40" s="46" t="s">
        <v>40</v>
      </c>
      <c r="E40" s="47">
        <v>10000</v>
      </c>
      <c r="F40" s="47">
        <v>0</v>
      </c>
      <c r="G40" s="47">
        <v>0</v>
      </c>
      <c r="H40" s="47">
        <v>0</v>
      </c>
      <c r="I40" s="55">
        <v>0</v>
      </c>
    </row>
    <row r="41" spans="1:9" s="80" customFormat="1" x14ac:dyDescent="0.25">
      <c r="A41" s="125" t="s">
        <v>84</v>
      </c>
      <c r="B41" s="126"/>
      <c r="C41" s="133"/>
      <c r="D41" s="69" t="s">
        <v>85</v>
      </c>
      <c r="E41" s="82">
        <f>+E42</f>
        <v>4680433.4400000004</v>
      </c>
      <c r="F41" s="82">
        <f t="shared" ref="F41:I41" si="5">+F42</f>
        <v>4678510</v>
      </c>
      <c r="G41" s="82">
        <f t="shared" si="5"/>
        <v>4887780.84</v>
      </c>
      <c r="H41" s="82">
        <f t="shared" si="5"/>
        <v>4887780.84</v>
      </c>
      <c r="I41" s="83">
        <f t="shared" si="5"/>
        <v>4887780.84</v>
      </c>
    </row>
    <row r="42" spans="1:9" s="80" customFormat="1" x14ac:dyDescent="0.25">
      <c r="A42" s="125">
        <v>53082</v>
      </c>
      <c r="B42" s="126"/>
      <c r="C42" s="133"/>
      <c r="D42" s="71" t="s">
        <v>86</v>
      </c>
      <c r="E42" s="82">
        <v>4680433.4400000004</v>
      </c>
      <c r="F42" s="82">
        <v>4678510</v>
      </c>
      <c r="G42" s="82">
        <v>4887780.84</v>
      </c>
      <c r="H42" s="82">
        <v>4887780.84</v>
      </c>
      <c r="I42" s="83">
        <v>4887780.84</v>
      </c>
    </row>
    <row r="43" spans="1:9" ht="14.45" x14ac:dyDescent="0.3">
      <c r="A43" s="45">
        <v>3</v>
      </c>
      <c r="B43" s="52"/>
      <c r="C43" s="52"/>
      <c r="D43" s="46" t="s">
        <v>22</v>
      </c>
      <c r="E43" s="47">
        <v>4680433.4400000004</v>
      </c>
      <c r="F43" s="47">
        <v>4678510</v>
      </c>
      <c r="G43" s="47">
        <v>4887780.84</v>
      </c>
      <c r="H43" s="47">
        <v>4887780.84</v>
      </c>
      <c r="I43" s="55">
        <v>4887780.84</v>
      </c>
    </row>
    <row r="44" spans="1:9" ht="14.45" x14ac:dyDescent="0.3">
      <c r="A44" s="45">
        <v>31</v>
      </c>
      <c r="B44" s="52"/>
      <c r="C44" s="52"/>
      <c r="D44" s="46" t="s">
        <v>25</v>
      </c>
      <c r="E44" s="47">
        <v>4590543.1100000003</v>
      </c>
      <c r="F44" s="47">
        <v>4637330</v>
      </c>
      <c r="G44" s="47">
        <v>4887780.84</v>
      </c>
      <c r="H44" s="47">
        <v>4887780.84</v>
      </c>
      <c r="I44" s="55">
        <v>4887780.84</v>
      </c>
    </row>
    <row r="45" spans="1:9" ht="14.45" x14ac:dyDescent="0.3">
      <c r="A45" s="45">
        <v>32</v>
      </c>
      <c r="B45" s="52"/>
      <c r="C45" s="52"/>
      <c r="D45" s="46" t="s">
        <v>40</v>
      </c>
      <c r="E45" s="47">
        <v>49408.12</v>
      </c>
      <c r="F45" s="47">
        <v>29380</v>
      </c>
      <c r="G45" s="47">
        <v>0</v>
      </c>
      <c r="H45" s="47">
        <v>0</v>
      </c>
      <c r="I45" s="55">
        <v>0</v>
      </c>
    </row>
    <row r="46" spans="1:9" ht="14.45" x14ac:dyDescent="0.3">
      <c r="A46" s="45">
        <v>34</v>
      </c>
      <c r="B46" s="52"/>
      <c r="C46" s="52"/>
      <c r="D46" s="46" t="s">
        <v>76</v>
      </c>
      <c r="E46" s="50">
        <v>40482.21</v>
      </c>
      <c r="F46" s="50">
        <v>11800</v>
      </c>
      <c r="G46" s="50">
        <v>0</v>
      </c>
      <c r="H46" s="50">
        <v>0</v>
      </c>
      <c r="I46" s="56">
        <v>0</v>
      </c>
    </row>
    <row r="47" spans="1:9" s="80" customFormat="1" ht="14.45" x14ac:dyDescent="0.3">
      <c r="A47" s="125">
        <v>2301</v>
      </c>
      <c r="B47" s="126"/>
      <c r="C47" s="133"/>
      <c r="D47" s="69" t="s">
        <v>87</v>
      </c>
      <c r="E47" s="70">
        <f>+E48+E52+E57+E61+E74+E78</f>
        <v>284866.75</v>
      </c>
      <c r="F47" s="70">
        <f>+F48+F52+F57+F61+F74+F78</f>
        <v>1461524</v>
      </c>
      <c r="G47" s="70">
        <f>+G48+G52+G57+G61+G74+G78</f>
        <v>1356891.3000000003</v>
      </c>
      <c r="H47" s="70">
        <f>+H48+H52+H57+H61+H74+H78</f>
        <v>32571.64</v>
      </c>
      <c r="I47" s="85">
        <f>+I48+I52+I57+I61+I74+I78</f>
        <v>32571.64</v>
      </c>
    </row>
    <row r="48" spans="1:9" s="80" customFormat="1" x14ac:dyDescent="0.25">
      <c r="A48" s="125" t="s">
        <v>88</v>
      </c>
      <c r="B48" s="126"/>
      <c r="C48" s="133"/>
      <c r="D48" s="71" t="s">
        <v>89</v>
      </c>
      <c r="E48" s="82">
        <f>+E49</f>
        <v>0</v>
      </c>
      <c r="F48" s="82">
        <f t="shared" ref="F48:I48" si="6">+F49</f>
        <v>22570</v>
      </c>
      <c r="G48" s="82">
        <f t="shared" si="6"/>
        <v>22573.360000000001</v>
      </c>
      <c r="H48" s="82">
        <f t="shared" si="6"/>
        <v>22573.360000000001</v>
      </c>
      <c r="I48" s="83">
        <f t="shared" si="6"/>
        <v>22573.360000000001</v>
      </c>
    </row>
    <row r="49" spans="1:9" s="80" customFormat="1" ht="14.45" x14ac:dyDescent="0.3">
      <c r="A49" s="125">
        <v>11001</v>
      </c>
      <c r="B49" s="126"/>
      <c r="C49" s="133"/>
      <c r="D49" s="71" t="s">
        <v>90</v>
      </c>
      <c r="E49" s="82">
        <v>0</v>
      </c>
      <c r="F49" s="82">
        <v>22570</v>
      </c>
      <c r="G49" s="82">
        <v>22573.360000000001</v>
      </c>
      <c r="H49" s="82">
        <v>22573.360000000001</v>
      </c>
      <c r="I49" s="83">
        <v>22573.360000000001</v>
      </c>
    </row>
    <row r="50" spans="1:9" ht="14.45" x14ac:dyDescent="0.3">
      <c r="A50" s="45">
        <v>3</v>
      </c>
      <c r="B50" s="52"/>
      <c r="C50" s="52"/>
      <c r="D50" s="46" t="s">
        <v>22</v>
      </c>
      <c r="E50" s="47">
        <v>0</v>
      </c>
      <c r="F50" s="47">
        <v>22570</v>
      </c>
      <c r="G50" s="47">
        <v>22573.360000000001</v>
      </c>
      <c r="H50" s="47">
        <v>22573.360000000001</v>
      </c>
      <c r="I50" s="55">
        <v>22573.360000000001</v>
      </c>
    </row>
    <row r="51" spans="1:9" ht="14.45" x14ac:dyDescent="0.3">
      <c r="A51" s="45">
        <v>32</v>
      </c>
      <c r="B51" s="52"/>
      <c r="C51" s="52"/>
      <c r="D51" s="46" t="s">
        <v>40</v>
      </c>
      <c r="E51" s="47">
        <v>0</v>
      </c>
      <c r="F51" s="47">
        <v>22570</v>
      </c>
      <c r="G51" s="47">
        <v>22573.360000000001</v>
      </c>
      <c r="H51" s="47">
        <v>22573.360000000001</v>
      </c>
      <c r="I51" s="55">
        <v>22573.360000000001</v>
      </c>
    </row>
    <row r="52" spans="1:9" s="80" customFormat="1" x14ac:dyDescent="0.25">
      <c r="A52" s="125" t="s">
        <v>91</v>
      </c>
      <c r="B52" s="126"/>
      <c r="C52" s="133"/>
      <c r="D52" s="72" t="s">
        <v>92</v>
      </c>
      <c r="E52" s="82">
        <f>+E53</f>
        <v>23738.48</v>
      </c>
      <c r="F52" s="82">
        <f t="shared" ref="F52:I52" si="7">+F53</f>
        <v>0</v>
      </c>
      <c r="G52" s="82">
        <f t="shared" si="7"/>
        <v>0</v>
      </c>
      <c r="H52" s="82">
        <f t="shared" si="7"/>
        <v>0</v>
      </c>
      <c r="I52" s="83">
        <f t="shared" si="7"/>
        <v>0</v>
      </c>
    </row>
    <row r="53" spans="1:9" s="80" customFormat="1" ht="14.45" x14ac:dyDescent="0.3">
      <c r="A53" s="125">
        <v>11001</v>
      </c>
      <c r="B53" s="126"/>
      <c r="C53" s="133"/>
      <c r="D53" s="71" t="s">
        <v>90</v>
      </c>
      <c r="E53" s="82">
        <v>23738.48</v>
      </c>
      <c r="F53" s="82">
        <v>0</v>
      </c>
      <c r="G53" s="82">
        <v>0</v>
      </c>
      <c r="H53" s="82">
        <v>0</v>
      </c>
      <c r="I53" s="83">
        <v>0</v>
      </c>
    </row>
    <row r="54" spans="1:9" x14ac:dyDescent="0.25">
      <c r="A54" s="45">
        <v>3</v>
      </c>
      <c r="B54" s="52"/>
      <c r="C54" s="52"/>
      <c r="D54" s="46" t="s">
        <v>22</v>
      </c>
      <c r="E54" s="47">
        <v>23738.48</v>
      </c>
      <c r="F54" s="47">
        <v>0</v>
      </c>
      <c r="G54" s="47">
        <v>0</v>
      </c>
      <c r="H54" s="47">
        <v>0</v>
      </c>
      <c r="I54" s="55">
        <v>0</v>
      </c>
    </row>
    <row r="55" spans="1:9" x14ac:dyDescent="0.25">
      <c r="A55" s="45">
        <v>31</v>
      </c>
      <c r="B55" s="52"/>
      <c r="C55" s="52"/>
      <c r="D55" s="46" t="s">
        <v>25</v>
      </c>
      <c r="E55" s="47">
        <v>22694.68</v>
      </c>
      <c r="F55" s="47">
        <v>0</v>
      </c>
      <c r="G55" s="47">
        <v>0</v>
      </c>
      <c r="H55" s="47">
        <v>0</v>
      </c>
      <c r="I55" s="55">
        <v>0</v>
      </c>
    </row>
    <row r="56" spans="1:9" x14ac:dyDescent="0.25">
      <c r="A56" s="45">
        <v>32</v>
      </c>
      <c r="B56" s="52"/>
      <c r="C56" s="52"/>
      <c r="D56" s="47" t="s">
        <v>40</v>
      </c>
      <c r="E56" s="47">
        <v>1043.8</v>
      </c>
      <c r="F56" s="47">
        <v>0</v>
      </c>
      <c r="G56" s="47">
        <v>0</v>
      </c>
      <c r="H56" s="47">
        <v>0</v>
      </c>
      <c r="I56" s="55">
        <v>0</v>
      </c>
    </row>
    <row r="57" spans="1:9" s="80" customFormat="1" x14ac:dyDescent="0.25">
      <c r="A57" s="125" t="s">
        <v>93</v>
      </c>
      <c r="B57" s="126"/>
      <c r="C57" s="133"/>
      <c r="D57" s="72" t="s">
        <v>94</v>
      </c>
      <c r="E57" s="82">
        <f>+E58</f>
        <v>919.5</v>
      </c>
      <c r="F57" s="82">
        <f t="shared" ref="F57:I57" si="8">+F58</f>
        <v>766</v>
      </c>
      <c r="G57" s="82">
        <f t="shared" si="8"/>
        <v>0</v>
      </c>
      <c r="H57" s="82">
        <f t="shared" si="8"/>
        <v>0</v>
      </c>
      <c r="I57" s="83">
        <f t="shared" si="8"/>
        <v>0</v>
      </c>
    </row>
    <row r="58" spans="1:9" s="80" customFormat="1" x14ac:dyDescent="0.25">
      <c r="A58" s="125">
        <v>53080</v>
      </c>
      <c r="B58" s="126"/>
      <c r="C58" s="133"/>
      <c r="D58" s="71" t="s">
        <v>95</v>
      </c>
      <c r="E58" s="82">
        <v>919.5</v>
      </c>
      <c r="F58" s="82">
        <v>766</v>
      </c>
      <c r="G58" s="82">
        <v>0</v>
      </c>
      <c r="H58" s="82">
        <v>0</v>
      </c>
      <c r="I58" s="83">
        <v>0</v>
      </c>
    </row>
    <row r="59" spans="1:9" x14ac:dyDescent="0.25">
      <c r="A59" s="45">
        <v>3</v>
      </c>
      <c r="B59" s="52"/>
      <c r="C59" s="52"/>
      <c r="D59" s="46" t="s">
        <v>22</v>
      </c>
      <c r="E59" s="47">
        <v>919.5</v>
      </c>
      <c r="F59" s="47">
        <v>766</v>
      </c>
      <c r="G59" s="47">
        <v>0</v>
      </c>
      <c r="H59" s="47">
        <v>0</v>
      </c>
      <c r="I59" s="55">
        <v>0</v>
      </c>
    </row>
    <row r="60" spans="1:9" ht="13.9" customHeight="1" x14ac:dyDescent="0.25">
      <c r="A60" s="45">
        <v>32</v>
      </c>
      <c r="B60" s="52"/>
      <c r="C60" s="52"/>
      <c r="D60" s="46" t="s">
        <v>40</v>
      </c>
      <c r="E60" s="47">
        <v>919.5</v>
      </c>
      <c r="F60" s="47">
        <v>766</v>
      </c>
      <c r="G60" s="47">
        <v>0</v>
      </c>
      <c r="H60" s="47">
        <v>0</v>
      </c>
      <c r="I60" s="55">
        <v>0</v>
      </c>
    </row>
    <row r="61" spans="1:9" s="80" customFormat="1" x14ac:dyDescent="0.25">
      <c r="A61" s="125" t="s">
        <v>96</v>
      </c>
      <c r="B61" s="126"/>
      <c r="C61" s="133"/>
      <c r="D61" s="72" t="s">
        <v>97</v>
      </c>
      <c r="E61" s="82">
        <f>+E62+E67</f>
        <v>258304.77</v>
      </c>
      <c r="F61" s="82">
        <f t="shared" ref="F61:I61" si="9">+F62+F67</f>
        <v>1428188</v>
      </c>
      <c r="G61" s="82">
        <f t="shared" si="9"/>
        <v>1324319.6600000001</v>
      </c>
      <c r="H61" s="82">
        <f t="shared" si="9"/>
        <v>0</v>
      </c>
      <c r="I61" s="83">
        <f t="shared" si="9"/>
        <v>0</v>
      </c>
    </row>
    <row r="62" spans="1:9" s="80" customFormat="1" x14ac:dyDescent="0.25">
      <c r="A62" s="125">
        <v>51001</v>
      </c>
      <c r="B62" s="126"/>
      <c r="C62" s="133"/>
      <c r="D62" s="71" t="s">
        <v>98</v>
      </c>
      <c r="E62" s="82">
        <v>0</v>
      </c>
      <c r="F62" s="82">
        <v>1124443</v>
      </c>
      <c r="G62" s="82">
        <v>1005102.3</v>
      </c>
      <c r="H62" s="82">
        <v>0</v>
      </c>
      <c r="I62" s="83">
        <v>0</v>
      </c>
    </row>
    <row r="63" spans="1:9" x14ac:dyDescent="0.25">
      <c r="A63" s="45">
        <v>3</v>
      </c>
      <c r="B63" s="52"/>
      <c r="C63" s="52"/>
      <c r="D63" s="46" t="s">
        <v>22</v>
      </c>
      <c r="E63" s="47">
        <v>0</v>
      </c>
      <c r="F63" s="47">
        <v>51000</v>
      </c>
      <c r="G63" s="47">
        <v>3013.8</v>
      </c>
      <c r="H63" s="47">
        <v>0</v>
      </c>
      <c r="I63" s="55">
        <v>0</v>
      </c>
    </row>
    <row r="64" spans="1:9" x14ac:dyDescent="0.25">
      <c r="A64" s="45">
        <v>32</v>
      </c>
      <c r="B64" s="52"/>
      <c r="C64" s="52"/>
      <c r="D64" s="46" t="s">
        <v>40</v>
      </c>
      <c r="E64" s="47">
        <v>0</v>
      </c>
      <c r="F64" s="47">
        <v>51000</v>
      </c>
      <c r="G64" s="47">
        <v>3013.8</v>
      </c>
      <c r="H64" s="47">
        <v>0</v>
      </c>
      <c r="I64" s="55">
        <v>0</v>
      </c>
    </row>
    <row r="65" spans="1:9" x14ac:dyDescent="0.25">
      <c r="A65" s="45">
        <v>4</v>
      </c>
      <c r="B65" s="52"/>
      <c r="C65" s="52"/>
      <c r="D65" s="46" t="s">
        <v>5</v>
      </c>
      <c r="E65" s="47">
        <f>+E66</f>
        <v>0</v>
      </c>
      <c r="F65" s="47">
        <f t="shared" ref="F65" si="10">+F66</f>
        <v>1073443</v>
      </c>
      <c r="G65" s="47">
        <f t="shared" ref="G65" si="11">+G66</f>
        <v>1002088.5</v>
      </c>
      <c r="H65" s="47">
        <f t="shared" ref="H65" si="12">+H66</f>
        <v>0</v>
      </c>
      <c r="I65" s="55">
        <f>+I66</f>
        <v>0</v>
      </c>
    </row>
    <row r="66" spans="1:9" x14ac:dyDescent="0.25">
      <c r="A66" s="45">
        <v>42</v>
      </c>
      <c r="B66" s="52"/>
      <c r="C66" s="52"/>
      <c r="D66" s="49" t="s">
        <v>115</v>
      </c>
      <c r="E66" s="47">
        <v>0</v>
      </c>
      <c r="F66" s="47">
        <v>1073443</v>
      </c>
      <c r="G66" s="47">
        <v>1002088.5</v>
      </c>
      <c r="H66" s="47">
        <v>0</v>
      </c>
      <c r="I66" s="55">
        <v>0</v>
      </c>
    </row>
    <row r="67" spans="1:9" s="80" customFormat="1" x14ac:dyDescent="0.25">
      <c r="A67" s="125">
        <v>58400</v>
      </c>
      <c r="B67" s="126"/>
      <c r="C67" s="133"/>
      <c r="D67" s="71" t="s">
        <v>99</v>
      </c>
      <c r="E67" s="82">
        <v>258304.77</v>
      </c>
      <c r="F67" s="82">
        <v>303745</v>
      </c>
      <c r="G67" s="82">
        <v>319217.36000000004</v>
      </c>
      <c r="H67" s="82">
        <v>0</v>
      </c>
      <c r="I67" s="83">
        <v>0</v>
      </c>
    </row>
    <row r="68" spans="1:9" x14ac:dyDescent="0.25">
      <c r="A68" s="45">
        <v>3</v>
      </c>
      <c r="B68" s="53"/>
      <c r="C68" s="53"/>
      <c r="D68" s="46" t="s">
        <v>22</v>
      </c>
      <c r="E68" s="47">
        <v>258304.77</v>
      </c>
      <c r="F68" s="47">
        <v>303745</v>
      </c>
      <c r="G68" s="47">
        <v>281350.92000000004</v>
      </c>
      <c r="H68" s="47">
        <v>0</v>
      </c>
      <c r="I68" s="55">
        <v>0</v>
      </c>
    </row>
    <row r="69" spans="1:9" x14ac:dyDescent="0.25">
      <c r="A69" s="45">
        <v>31</v>
      </c>
      <c r="B69" s="53"/>
      <c r="C69" s="53"/>
      <c r="D69" s="46" t="s">
        <v>25</v>
      </c>
      <c r="E69" s="47">
        <v>203593.93</v>
      </c>
      <c r="F69" s="47">
        <v>229100</v>
      </c>
      <c r="G69" s="47">
        <v>215336.01</v>
      </c>
      <c r="H69" s="47">
        <v>0</v>
      </c>
      <c r="I69" s="55">
        <v>0</v>
      </c>
    </row>
    <row r="70" spans="1:9" x14ac:dyDescent="0.25">
      <c r="A70" s="45">
        <v>32</v>
      </c>
      <c r="B70" s="53"/>
      <c r="C70" s="53"/>
      <c r="D70" s="46" t="s">
        <v>40</v>
      </c>
      <c r="E70" s="47">
        <v>54315.840000000004</v>
      </c>
      <c r="F70" s="47">
        <v>73845</v>
      </c>
      <c r="G70" s="47">
        <v>65261.460000000006</v>
      </c>
      <c r="H70" s="47">
        <v>0</v>
      </c>
      <c r="I70" s="55">
        <v>0</v>
      </c>
    </row>
    <row r="71" spans="1:9" x14ac:dyDescent="0.25">
      <c r="A71" s="45">
        <v>34</v>
      </c>
      <c r="B71" s="53"/>
      <c r="C71" s="53"/>
      <c r="D71" s="46" t="s">
        <v>76</v>
      </c>
      <c r="E71" s="47">
        <v>395</v>
      </c>
      <c r="F71" s="47">
        <v>800</v>
      </c>
      <c r="G71" s="47">
        <v>753.45</v>
      </c>
      <c r="H71" s="47">
        <v>0</v>
      </c>
      <c r="I71" s="55">
        <v>0</v>
      </c>
    </row>
    <row r="72" spans="1:9" x14ac:dyDescent="0.25">
      <c r="A72" s="45">
        <v>4</v>
      </c>
      <c r="B72" s="52"/>
      <c r="C72" s="52"/>
      <c r="D72" s="46" t="s">
        <v>5</v>
      </c>
      <c r="E72" s="47">
        <f>+E73</f>
        <v>0</v>
      </c>
      <c r="F72" s="47">
        <f t="shared" ref="F72" si="13">+F73</f>
        <v>0</v>
      </c>
      <c r="G72" s="47">
        <f t="shared" ref="G72" si="14">+G73</f>
        <v>37866.44</v>
      </c>
      <c r="H72" s="47">
        <f t="shared" ref="H72" si="15">+H73</f>
        <v>0</v>
      </c>
      <c r="I72" s="55">
        <f>+I73</f>
        <v>0</v>
      </c>
    </row>
    <row r="73" spans="1:9" x14ac:dyDescent="0.25">
      <c r="A73" s="45">
        <v>42</v>
      </c>
      <c r="B73" s="53"/>
      <c r="C73" s="53"/>
      <c r="D73" s="46" t="s">
        <v>115</v>
      </c>
      <c r="E73" s="50">
        <v>0</v>
      </c>
      <c r="F73" s="50">
        <v>0</v>
      </c>
      <c r="G73" s="50">
        <v>37866.44</v>
      </c>
      <c r="H73" s="50">
        <v>0</v>
      </c>
      <c r="I73" s="56">
        <v>0</v>
      </c>
    </row>
    <row r="74" spans="1:9" s="80" customFormat="1" x14ac:dyDescent="0.25">
      <c r="A74" s="125" t="s">
        <v>100</v>
      </c>
      <c r="B74" s="126"/>
      <c r="C74" s="133"/>
      <c r="D74" s="72" t="s">
        <v>101</v>
      </c>
      <c r="E74" s="73">
        <f>+E75</f>
        <v>1904</v>
      </c>
      <c r="F74" s="73">
        <f t="shared" ref="F74:I74" si="16">+F75</f>
        <v>0</v>
      </c>
      <c r="G74" s="73">
        <f t="shared" si="16"/>
        <v>0</v>
      </c>
      <c r="H74" s="73">
        <f t="shared" si="16"/>
        <v>0</v>
      </c>
      <c r="I74" s="74">
        <f t="shared" si="16"/>
        <v>0</v>
      </c>
    </row>
    <row r="75" spans="1:9" s="80" customFormat="1" x14ac:dyDescent="0.25">
      <c r="A75" s="125">
        <v>53082</v>
      </c>
      <c r="B75" s="126"/>
      <c r="C75" s="133"/>
      <c r="D75" s="71" t="s">
        <v>86</v>
      </c>
      <c r="E75" s="82">
        <v>1904</v>
      </c>
      <c r="F75" s="82">
        <v>0</v>
      </c>
      <c r="G75" s="82">
        <v>0</v>
      </c>
      <c r="H75" s="82">
        <v>0</v>
      </c>
      <c r="I75" s="83">
        <v>0</v>
      </c>
    </row>
    <row r="76" spans="1:9" x14ac:dyDescent="0.25">
      <c r="A76" s="45">
        <v>3</v>
      </c>
      <c r="B76" s="52"/>
      <c r="C76" s="52"/>
      <c r="D76" s="46" t="s">
        <v>22</v>
      </c>
      <c r="E76" s="47">
        <v>1904</v>
      </c>
      <c r="F76" s="47">
        <v>0</v>
      </c>
      <c r="G76" s="47">
        <v>0</v>
      </c>
      <c r="H76" s="47">
        <v>0</v>
      </c>
      <c r="I76" s="55">
        <v>0</v>
      </c>
    </row>
    <row r="77" spans="1:9" x14ac:dyDescent="0.25">
      <c r="A77" s="45">
        <v>32</v>
      </c>
      <c r="B77" s="52"/>
      <c r="C77" s="52"/>
      <c r="D77" s="46" t="s">
        <v>40</v>
      </c>
      <c r="E77" s="50">
        <v>1904</v>
      </c>
      <c r="F77" s="50">
        <v>0</v>
      </c>
      <c r="G77" s="50">
        <v>0</v>
      </c>
      <c r="H77" s="50">
        <v>0</v>
      </c>
      <c r="I77" s="56">
        <v>0</v>
      </c>
    </row>
    <row r="78" spans="1:9" s="80" customFormat="1" x14ac:dyDescent="0.25">
      <c r="A78" s="125" t="s">
        <v>102</v>
      </c>
      <c r="B78" s="126"/>
      <c r="C78" s="133"/>
      <c r="D78" s="72" t="s">
        <v>103</v>
      </c>
      <c r="E78" s="73">
        <f>+E79</f>
        <v>0</v>
      </c>
      <c r="F78" s="73">
        <f t="shared" ref="F78:I78" si="17">+F79</f>
        <v>10000</v>
      </c>
      <c r="G78" s="73">
        <f t="shared" si="17"/>
        <v>9998.2799999999988</v>
      </c>
      <c r="H78" s="73">
        <f t="shared" si="17"/>
        <v>9998.2799999999988</v>
      </c>
      <c r="I78" s="74">
        <f t="shared" si="17"/>
        <v>9998.2799999999988</v>
      </c>
    </row>
    <row r="79" spans="1:9" s="80" customFormat="1" x14ac:dyDescent="0.25">
      <c r="A79" s="125">
        <v>11001</v>
      </c>
      <c r="B79" s="126"/>
      <c r="C79" s="133"/>
      <c r="D79" s="71" t="s">
        <v>90</v>
      </c>
      <c r="E79" s="82">
        <v>0</v>
      </c>
      <c r="F79" s="82">
        <v>10000</v>
      </c>
      <c r="G79" s="82">
        <v>9998.2799999999988</v>
      </c>
      <c r="H79" s="82">
        <v>9998.2799999999988</v>
      </c>
      <c r="I79" s="83">
        <v>9998.2799999999988</v>
      </c>
    </row>
    <row r="80" spans="1:9" x14ac:dyDescent="0.25">
      <c r="A80" s="45">
        <v>3</v>
      </c>
      <c r="B80" s="52"/>
      <c r="C80" s="52"/>
      <c r="D80" s="46" t="s">
        <v>22</v>
      </c>
      <c r="E80" s="47">
        <v>0</v>
      </c>
      <c r="F80" s="47">
        <v>10000</v>
      </c>
      <c r="G80" s="47">
        <v>9998.2799999999988</v>
      </c>
      <c r="H80" s="47">
        <v>9998.2799999999988</v>
      </c>
      <c r="I80" s="55">
        <v>9998.2799999999988</v>
      </c>
    </row>
    <row r="81" spans="1:9" x14ac:dyDescent="0.25">
      <c r="A81" s="45">
        <v>32</v>
      </c>
      <c r="B81" s="52"/>
      <c r="C81" s="52"/>
      <c r="D81" s="46" t="s">
        <v>40</v>
      </c>
      <c r="E81" s="50">
        <v>0</v>
      </c>
      <c r="F81" s="50">
        <v>10000</v>
      </c>
      <c r="G81" s="50">
        <v>9998.2799999999988</v>
      </c>
      <c r="H81" s="50">
        <v>9998.2799999999988</v>
      </c>
      <c r="I81" s="56">
        <v>9998.2799999999988</v>
      </c>
    </row>
    <row r="82" spans="1:9" s="80" customFormat="1" x14ac:dyDescent="0.25">
      <c r="A82" s="125">
        <v>2406</v>
      </c>
      <c r="B82" s="126"/>
      <c r="C82" s="133"/>
      <c r="D82" s="75" t="s">
        <v>104</v>
      </c>
      <c r="E82" s="76">
        <f>+E83+E87</f>
        <v>23645.55</v>
      </c>
      <c r="F82" s="76">
        <v>121780</v>
      </c>
      <c r="G82" s="76">
        <v>110003.7</v>
      </c>
      <c r="H82" s="76">
        <v>0</v>
      </c>
      <c r="I82" s="77">
        <v>0</v>
      </c>
    </row>
    <row r="83" spans="1:9" s="80" customFormat="1" x14ac:dyDescent="0.25">
      <c r="A83" s="125" t="s">
        <v>105</v>
      </c>
      <c r="B83" s="126"/>
      <c r="C83" s="133"/>
      <c r="D83" s="72" t="s">
        <v>106</v>
      </c>
      <c r="E83" s="73">
        <v>17395.55</v>
      </c>
      <c r="F83" s="73">
        <v>121780</v>
      </c>
      <c r="G83" s="73">
        <v>110003.7</v>
      </c>
      <c r="H83" s="73">
        <v>0</v>
      </c>
      <c r="I83" s="74">
        <v>0</v>
      </c>
    </row>
    <row r="84" spans="1:9" s="80" customFormat="1" x14ac:dyDescent="0.25">
      <c r="A84" s="125">
        <v>32400</v>
      </c>
      <c r="B84" s="126"/>
      <c r="C84" s="133"/>
      <c r="D84" s="71" t="s">
        <v>81</v>
      </c>
      <c r="E84" s="82">
        <v>17395.55</v>
      </c>
      <c r="F84" s="82">
        <v>121780</v>
      </c>
      <c r="G84" s="82">
        <v>110003.7</v>
      </c>
      <c r="H84" s="82">
        <v>0</v>
      </c>
      <c r="I84" s="83">
        <v>0</v>
      </c>
    </row>
    <row r="85" spans="1:9" x14ac:dyDescent="0.25">
      <c r="A85" s="45">
        <v>4</v>
      </c>
      <c r="B85" s="52"/>
      <c r="C85" s="52"/>
      <c r="D85" s="46" t="s">
        <v>5</v>
      </c>
      <c r="E85" s="47">
        <v>17395.55</v>
      </c>
      <c r="F85" s="47">
        <v>121780</v>
      </c>
      <c r="G85" s="47">
        <v>110003.7</v>
      </c>
      <c r="H85" s="47">
        <v>0</v>
      </c>
      <c r="I85" s="55">
        <v>0</v>
      </c>
    </row>
    <row r="86" spans="1:9" x14ac:dyDescent="0.25">
      <c r="A86" s="45">
        <v>42</v>
      </c>
      <c r="B86" s="52"/>
      <c r="C86" s="52"/>
      <c r="D86" s="46" t="s">
        <v>115</v>
      </c>
      <c r="E86" s="50">
        <v>17395.55</v>
      </c>
      <c r="F86" s="50">
        <v>121780</v>
      </c>
      <c r="G86" s="50">
        <v>110003.7</v>
      </c>
      <c r="H86" s="50">
        <v>0</v>
      </c>
      <c r="I86" s="56">
        <v>0</v>
      </c>
    </row>
    <row r="87" spans="1:9" s="80" customFormat="1" x14ac:dyDescent="0.25">
      <c r="A87" s="125" t="s">
        <v>107</v>
      </c>
      <c r="B87" s="126"/>
      <c r="C87" s="78"/>
      <c r="D87" s="72" t="s">
        <v>108</v>
      </c>
      <c r="E87" s="73">
        <f>+E88+E91</f>
        <v>6250</v>
      </c>
      <c r="F87" s="73">
        <f t="shared" ref="F87:I87" si="18">+F88+F91</f>
        <v>0</v>
      </c>
      <c r="G87" s="73">
        <f t="shared" si="18"/>
        <v>0</v>
      </c>
      <c r="H87" s="73">
        <f t="shared" si="18"/>
        <v>0</v>
      </c>
      <c r="I87" s="74">
        <f t="shared" si="18"/>
        <v>0</v>
      </c>
    </row>
    <row r="88" spans="1:9" s="80" customFormat="1" x14ac:dyDescent="0.25">
      <c r="A88" s="125">
        <v>11001</v>
      </c>
      <c r="B88" s="126"/>
      <c r="C88" s="79"/>
      <c r="D88" s="71" t="s">
        <v>90</v>
      </c>
      <c r="E88" s="82">
        <v>3000</v>
      </c>
      <c r="F88" s="82">
        <v>0</v>
      </c>
      <c r="G88" s="82">
        <v>0</v>
      </c>
      <c r="H88" s="82">
        <v>0</v>
      </c>
      <c r="I88" s="83">
        <v>0</v>
      </c>
    </row>
    <row r="89" spans="1:9" x14ac:dyDescent="0.25">
      <c r="A89" s="45">
        <v>4</v>
      </c>
      <c r="B89" s="52"/>
      <c r="C89" s="52"/>
      <c r="D89" s="46" t="s">
        <v>5</v>
      </c>
      <c r="E89" s="47">
        <v>3000</v>
      </c>
      <c r="F89" s="47">
        <v>0</v>
      </c>
      <c r="G89" s="47">
        <v>0</v>
      </c>
      <c r="H89" s="47">
        <v>0</v>
      </c>
      <c r="I89" s="55">
        <v>0</v>
      </c>
    </row>
    <row r="90" spans="1:9" x14ac:dyDescent="0.25">
      <c r="A90" s="45">
        <v>42</v>
      </c>
      <c r="B90" s="52"/>
      <c r="C90" s="52"/>
      <c r="D90" s="46" t="s">
        <v>115</v>
      </c>
      <c r="E90" s="47">
        <v>3000</v>
      </c>
      <c r="F90" s="47">
        <v>0</v>
      </c>
      <c r="G90" s="47">
        <v>0</v>
      </c>
      <c r="H90" s="47">
        <v>0</v>
      </c>
      <c r="I90" s="55">
        <v>0</v>
      </c>
    </row>
    <row r="91" spans="1:9" s="80" customFormat="1" x14ac:dyDescent="0.25">
      <c r="A91" s="125">
        <v>53082</v>
      </c>
      <c r="B91" s="126"/>
      <c r="C91" s="78"/>
      <c r="D91" s="82" t="s">
        <v>86</v>
      </c>
      <c r="E91" s="82">
        <v>3250</v>
      </c>
      <c r="F91" s="82">
        <v>0</v>
      </c>
      <c r="G91" s="82">
        <v>0</v>
      </c>
      <c r="H91" s="82">
        <v>0</v>
      </c>
      <c r="I91" s="83">
        <v>0</v>
      </c>
    </row>
    <row r="92" spans="1:9" x14ac:dyDescent="0.25">
      <c r="A92" s="45">
        <v>4</v>
      </c>
      <c r="B92" s="52"/>
      <c r="C92" s="52"/>
      <c r="D92" s="46" t="s">
        <v>5</v>
      </c>
      <c r="E92" s="47">
        <v>3250</v>
      </c>
      <c r="F92" s="47">
        <v>0</v>
      </c>
      <c r="G92" s="47">
        <v>0</v>
      </c>
      <c r="H92" s="47">
        <v>0</v>
      </c>
      <c r="I92" s="55">
        <v>0</v>
      </c>
    </row>
    <row r="93" spans="1:9" x14ac:dyDescent="0.25">
      <c r="A93" s="45">
        <v>42</v>
      </c>
      <c r="B93" s="52"/>
      <c r="C93" s="52"/>
      <c r="D93" s="46" t="s">
        <v>115</v>
      </c>
      <c r="E93" s="50">
        <v>3250</v>
      </c>
      <c r="F93" s="50">
        <v>0</v>
      </c>
      <c r="G93" s="50">
        <v>0</v>
      </c>
      <c r="H93" s="50">
        <v>0</v>
      </c>
      <c r="I93" s="56">
        <v>0</v>
      </c>
    </row>
    <row r="94" spans="1:9" s="80" customFormat="1" x14ac:dyDescent="0.25">
      <c r="A94" s="125">
        <v>9108</v>
      </c>
      <c r="B94" s="126"/>
      <c r="C94" s="78"/>
      <c r="D94" s="75" t="s">
        <v>109</v>
      </c>
      <c r="E94" s="76">
        <v>7160.1399999999994</v>
      </c>
      <c r="F94" s="76">
        <v>24361</v>
      </c>
      <c r="G94" s="76">
        <v>0</v>
      </c>
      <c r="H94" s="76">
        <v>0</v>
      </c>
      <c r="I94" s="77">
        <v>0</v>
      </c>
    </row>
    <row r="95" spans="1:9" s="80" customFormat="1" x14ac:dyDescent="0.25">
      <c r="A95" s="125" t="s">
        <v>110</v>
      </c>
      <c r="B95" s="126"/>
      <c r="C95" s="78"/>
      <c r="D95" s="72" t="s">
        <v>111</v>
      </c>
      <c r="E95" s="82">
        <v>7160.1399999999994</v>
      </c>
      <c r="F95" s="82">
        <v>24361</v>
      </c>
      <c r="G95" s="82">
        <v>0</v>
      </c>
      <c r="H95" s="82">
        <v>0</v>
      </c>
      <c r="I95" s="83">
        <v>0</v>
      </c>
    </row>
    <row r="96" spans="1:9" s="80" customFormat="1" x14ac:dyDescent="0.25">
      <c r="A96" s="125">
        <v>11001</v>
      </c>
      <c r="B96" s="126"/>
      <c r="C96" s="78"/>
      <c r="D96" s="71" t="s">
        <v>90</v>
      </c>
      <c r="E96" s="82">
        <v>3408.2</v>
      </c>
      <c r="F96" s="82">
        <v>4833</v>
      </c>
      <c r="G96" s="82">
        <v>0</v>
      </c>
      <c r="H96" s="82">
        <v>0</v>
      </c>
      <c r="I96" s="83">
        <v>0</v>
      </c>
    </row>
    <row r="97" spans="1:9" x14ac:dyDescent="0.25">
      <c r="A97" s="45">
        <v>3</v>
      </c>
      <c r="B97" s="53"/>
      <c r="C97" s="53"/>
      <c r="D97" s="46" t="s">
        <v>22</v>
      </c>
      <c r="E97" s="47">
        <v>3408.2</v>
      </c>
      <c r="F97" s="47">
        <v>4833</v>
      </c>
      <c r="G97" s="47">
        <v>0</v>
      </c>
      <c r="H97" s="47">
        <v>0</v>
      </c>
      <c r="I97" s="55">
        <v>0</v>
      </c>
    </row>
    <row r="98" spans="1:9" x14ac:dyDescent="0.25">
      <c r="A98" s="45">
        <v>31</v>
      </c>
      <c r="B98" s="53"/>
      <c r="C98" s="53"/>
      <c r="D98" s="46" t="s">
        <v>25</v>
      </c>
      <c r="E98" s="47">
        <v>3258.02</v>
      </c>
      <c r="F98" s="47">
        <v>4678</v>
      </c>
      <c r="G98" s="47">
        <v>0</v>
      </c>
      <c r="H98" s="47">
        <v>0</v>
      </c>
      <c r="I98" s="55">
        <v>0</v>
      </c>
    </row>
    <row r="99" spans="1:9" x14ac:dyDescent="0.25">
      <c r="A99" s="45">
        <v>32</v>
      </c>
      <c r="B99" s="53"/>
      <c r="C99" s="53"/>
      <c r="D99" s="49" t="s">
        <v>40</v>
      </c>
      <c r="E99" s="47">
        <v>150.18</v>
      </c>
      <c r="F99" s="47">
        <v>155</v>
      </c>
      <c r="G99" s="47">
        <v>0</v>
      </c>
      <c r="H99" s="47">
        <v>0</v>
      </c>
      <c r="I99" s="55">
        <v>0</v>
      </c>
    </row>
    <row r="100" spans="1:9" s="80" customFormat="1" x14ac:dyDescent="0.25">
      <c r="A100" s="125">
        <v>51100</v>
      </c>
      <c r="B100" s="126"/>
      <c r="C100" s="78"/>
      <c r="D100" s="71" t="s">
        <v>112</v>
      </c>
      <c r="E100" s="82">
        <v>3751.94</v>
      </c>
      <c r="F100" s="82">
        <v>19528</v>
      </c>
      <c r="G100" s="82">
        <v>0</v>
      </c>
      <c r="H100" s="82">
        <v>0</v>
      </c>
      <c r="I100" s="83">
        <v>0</v>
      </c>
    </row>
    <row r="101" spans="1:9" x14ac:dyDescent="0.25">
      <c r="A101" s="45">
        <v>3</v>
      </c>
      <c r="B101" s="53"/>
      <c r="C101" s="53"/>
      <c r="D101" s="46" t="s">
        <v>22</v>
      </c>
      <c r="E101" s="47">
        <v>3751.94</v>
      </c>
      <c r="F101" s="47">
        <v>19528</v>
      </c>
      <c r="G101" s="47">
        <v>0</v>
      </c>
      <c r="H101" s="47">
        <v>0</v>
      </c>
      <c r="I101" s="55">
        <v>0</v>
      </c>
    </row>
    <row r="102" spans="1:9" ht="15.6" customHeight="1" x14ac:dyDescent="0.25">
      <c r="A102" s="45">
        <v>31</v>
      </c>
      <c r="B102" s="53"/>
      <c r="C102" s="53"/>
      <c r="D102" s="46" t="s">
        <v>25</v>
      </c>
      <c r="E102" s="47">
        <v>3586.62</v>
      </c>
      <c r="F102" s="47">
        <v>18901</v>
      </c>
      <c r="G102" s="47">
        <v>0</v>
      </c>
      <c r="H102" s="47">
        <v>0</v>
      </c>
      <c r="I102" s="55">
        <v>0</v>
      </c>
    </row>
    <row r="103" spans="1:9" x14ac:dyDescent="0.25">
      <c r="A103" s="48">
        <v>32</v>
      </c>
      <c r="B103" s="54"/>
      <c r="C103" s="54"/>
      <c r="D103" s="49" t="s">
        <v>40</v>
      </c>
      <c r="E103" s="50">
        <v>165.32</v>
      </c>
      <c r="F103" s="50">
        <v>627</v>
      </c>
      <c r="G103" s="50">
        <v>0</v>
      </c>
      <c r="H103" s="50">
        <v>0</v>
      </c>
      <c r="I103" s="56">
        <v>0</v>
      </c>
    </row>
    <row r="104" spans="1:9" x14ac:dyDescent="0.25">
      <c r="E104" s="81"/>
      <c r="F104" s="81"/>
      <c r="G104" s="81"/>
      <c r="H104" s="51"/>
      <c r="I104" s="51"/>
    </row>
    <row r="105" spans="1:9" x14ac:dyDescent="0.25">
      <c r="E105" s="81"/>
      <c r="F105" s="81"/>
      <c r="G105" s="81"/>
      <c r="H105" s="81"/>
      <c r="I105" s="81"/>
    </row>
    <row r="106" spans="1:9" x14ac:dyDescent="0.25">
      <c r="E106" s="81"/>
      <c r="F106" s="81"/>
      <c r="G106" s="81"/>
      <c r="H106" s="81"/>
      <c r="I106" s="81"/>
    </row>
    <row r="107" spans="1:9" x14ac:dyDescent="0.25">
      <c r="E107" s="81"/>
      <c r="F107" s="81"/>
      <c r="G107" s="81"/>
      <c r="H107" s="81"/>
      <c r="I107" s="81"/>
    </row>
    <row r="108" spans="1:9" x14ac:dyDescent="0.25">
      <c r="E108" s="81"/>
      <c r="F108" s="81"/>
      <c r="G108" s="81"/>
      <c r="H108" s="81"/>
      <c r="I108" s="81"/>
    </row>
    <row r="109" spans="1:9" x14ac:dyDescent="0.25">
      <c r="E109" s="81"/>
      <c r="F109" s="81"/>
      <c r="G109" s="81"/>
      <c r="H109" s="81"/>
      <c r="I109" s="81"/>
    </row>
    <row r="110" spans="1:9" x14ac:dyDescent="0.25">
      <c r="E110" s="81"/>
      <c r="F110" s="81"/>
      <c r="G110" s="81"/>
      <c r="H110" s="81"/>
      <c r="I110" s="81"/>
    </row>
    <row r="111" spans="1:9" x14ac:dyDescent="0.25">
      <c r="E111" s="81"/>
      <c r="F111" s="81"/>
      <c r="G111" s="81"/>
      <c r="H111" s="81"/>
      <c r="I111" s="81"/>
    </row>
    <row r="112" spans="1:9" x14ac:dyDescent="0.25">
      <c r="E112" s="81"/>
      <c r="F112" s="81"/>
      <c r="G112" s="81"/>
      <c r="H112" s="81"/>
      <c r="I112" s="81"/>
    </row>
    <row r="113" spans="5:9" x14ac:dyDescent="0.25">
      <c r="E113" s="81"/>
      <c r="F113" s="81"/>
      <c r="G113" s="81"/>
      <c r="H113" s="81"/>
      <c r="I113" s="81"/>
    </row>
    <row r="114" spans="5:9" x14ac:dyDescent="0.25">
      <c r="E114" s="81"/>
      <c r="F114" s="81"/>
      <c r="G114" s="81"/>
      <c r="H114" s="81"/>
      <c r="I114" s="81"/>
    </row>
    <row r="115" spans="5:9" x14ac:dyDescent="0.25">
      <c r="E115" s="81"/>
      <c r="F115" s="81"/>
      <c r="G115" s="81"/>
      <c r="H115" s="81"/>
      <c r="I115" s="81"/>
    </row>
    <row r="116" spans="5:9" x14ac:dyDescent="0.25">
      <c r="E116" s="81"/>
      <c r="F116" s="81"/>
      <c r="G116" s="81"/>
      <c r="H116" s="81"/>
      <c r="I116" s="81"/>
    </row>
    <row r="117" spans="5:9" x14ac:dyDescent="0.25">
      <c r="E117" s="81"/>
      <c r="F117" s="81"/>
      <c r="G117" s="81"/>
      <c r="H117" s="81"/>
      <c r="I117" s="81"/>
    </row>
  </sheetData>
  <mergeCells count="53">
    <mergeCell ref="A91:B91"/>
    <mergeCell ref="A94:B94"/>
    <mergeCell ref="A95:B95"/>
    <mergeCell ref="A96:B96"/>
    <mergeCell ref="A100:B100"/>
    <mergeCell ref="A82:C82"/>
    <mergeCell ref="A83:C83"/>
    <mergeCell ref="A84:C84"/>
    <mergeCell ref="A87:B87"/>
    <mergeCell ref="A88:B88"/>
    <mergeCell ref="A74:C74"/>
    <mergeCell ref="A75:C75"/>
    <mergeCell ref="A78:C78"/>
    <mergeCell ref="A79:C79"/>
    <mergeCell ref="A58:C58"/>
    <mergeCell ref="A61:C61"/>
    <mergeCell ref="A62:C62"/>
    <mergeCell ref="A67:C67"/>
    <mergeCell ref="A48:C48"/>
    <mergeCell ref="A49:C49"/>
    <mergeCell ref="A52:C52"/>
    <mergeCell ref="A53:C53"/>
    <mergeCell ref="A57:C57"/>
    <mergeCell ref="A41:C41"/>
    <mergeCell ref="A42:C42"/>
    <mergeCell ref="A47:C47"/>
    <mergeCell ref="A28:C28"/>
    <mergeCell ref="A31:C31"/>
    <mergeCell ref="A32:C32"/>
    <mergeCell ref="A35:C35"/>
    <mergeCell ref="A38:C38"/>
    <mergeCell ref="A20:C20"/>
    <mergeCell ref="A21:C21"/>
    <mergeCell ref="A22:C22"/>
    <mergeCell ref="A23:C23"/>
    <mergeCell ref="A27:C27"/>
    <mergeCell ref="A6:C6"/>
    <mergeCell ref="A7:C7"/>
    <mergeCell ref="A1:I1"/>
    <mergeCell ref="A3:I3"/>
    <mergeCell ref="A5:C5"/>
    <mergeCell ref="A8:C8"/>
    <mergeCell ref="A9:C9"/>
    <mergeCell ref="A11:C11"/>
    <mergeCell ref="A10:C10"/>
    <mergeCell ref="A16:C16"/>
    <mergeCell ref="A18:C18"/>
    <mergeCell ref="A19:C19"/>
    <mergeCell ref="A12:C12"/>
    <mergeCell ref="A13:C13"/>
    <mergeCell ref="A14:C14"/>
    <mergeCell ref="A15:C15"/>
    <mergeCell ref="A17:C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E11" sqref="E11"/>
    </sheetView>
  </sheetViews>
  <sheetFormatPr defaultRowHeight="15" x14ac:dyDescent="0.25"/>
  <cols>
    <col min="1" max="1" width="37.7109375" customWidth="1"/>
    <col min="2" max="2" width="14.28515625" bestFit="1" customWidth="1"/>
    <col min="3" max="3" width="11.7109375" bestFit="1" customWidth="1"/>
    <col min="4" max="4" width="12.7109375" bestFit="1" customWidth="1"/>
    <col min="5" max="6" width="12.42578125" customWidth="1"/>
    <col min="7" max="7" width="10.140625" bestFit="1" customWidth="1"/>
    <col min="8" max="8" width="9.42578125" bestFit="1" customWidth="1"/>
  </cols>
  <sheetData>
    <row r="1" spans="1:8" ht="42" customHeight="1" x14ac:dyDescent="0.3">
      <c r="A1" s="103" t="str">
        <f>+SAŽETAK!A1</f>
        <v>II. IZMJENE I DOPUNE FINANCIJSKOG PLANA INDUSTRIJSKO-OBRTNIČKE ŠKOLE PULA
ZA 2023. I PROJEKCIJA ZA 2024. I 2025. GODINU</v>
      </c>
      <c r="B1" s="103"/>
      <c r="C1" s="103"/>
      <c r="D1" s="103"/>
      <c r="E1" s="103"/>
      <c r="F1" s="103"/>
      <c r="G1" s="103"/>
      <c r="H1" s="103"/>
    </row>
    <row r="2" spans="1:8" ht="18" customHeight="1" x14ac:dyDescent="0.3">
      <c r="A2" s="4"/>
      <c r="B2" s="4"/>
      <c r="C2" s="4"/>
      <c r="D2" s="4"/>
      <c r="E2" s="28"/>
      <c r="F2" s="28"/>
      <c r="G2" s="4"/>
      <c r="H2" s="4"/>
    </row>
    <row r="3" spans="1:8" ht="15.75" x14ac:dyDescent="0.25">
      <c r="A3" s="103" t="s">
        <v>37</v>
      </c>
      <c r="B3" s="103"/>
      <c r="C3" s="103"/>
      <c r="D3" s="103"/>
      <c r="E3" s="103"/>
      <c r="F3" s="103"/>
      <c r="G3" s="104"/>
      <c r="H3" s="104"/>
    </row>
    <row r="4" spans="1:8" ht="17.45" x14ac:dyDescent="0.3">
      <c r="A4" s="4"/>
      <c r="B4" s="4"/>
      <c r="C4" s="4"/>
      <c r="D4" s="4"/>
      <c r="E4" s="28"/>
      <c r="F4" s="28"/>
      <c r="G4" s="5"/>
      <c r="H4" s="5"/>
    </row>
    <row r="5" spans="1:8" ht="18" customHeight="1" x14ac:dyDescent="0.25">
      <c r="A5" s="103" t="s">
        <v>15</v>
      </c>
      <c r="B5" s="105"/>
      <c r="C5" s="105"/>
      <c r="D5" s="105"/>
      <c r="E5" s="105"/>
      <c r="F5" s="105"/>
      <c r="G5" s="105"/>
      <c r="H5" s="105"/>
    </row>
    <row r="6" spans="1:8" ht="17.45" x14ac:dyDescent="0.3">
      <c r="A6" s="4"/>
      <c r="B6" s="4"/>
      <c r="C6" s="4"/>
      <c r="D6" s="4"/>
      <c r="E6" s="28"/>
      <c r="F6" s="28"/>
      <c r="G6" s="5"/>
      <c r="H6" s="5"/>
    </row>
    <row r="7" spans="1:8" ht="15.6" x14ac:dyDescent="0.3">
      <c r="A7" s="103" t="s">
        <v>27</v>
      </c>
      <c r="B7" s="124"/>
      <c r="C7" s="124"/>
      <c r="D7" s="124"/>
      <c r="E7" s="124"/>
      <c r="F7" s="124"/>
      <c r="G7" s="124"/>
      <c r="H7" s="124"/>
    </row>
    <row r="8" spans="1:8" ht="17.45" x14ac:dyDescent="0.3">
      <c r="A8" s="4"/>
      <c r="B8" s="4"/>
      <c r="C8" s="4"/>
      <c r="D8" s="4"/>
      <c r="E8" s="28"/>
      <c r="F8" s="28"/>
      <c r="G8" s="5"/>
      <c r="H8" s="5"/>
    </row>
    <row r="9" spans="1:8" ht="25.5" x14ac:dyDescent="0.25">
      <c r="A9" s="24" t="s">
        <v>28</v>
      </c>
      <c r="B9" s="23" t="s">
        <v>121</v>
      </c>
      <c r="C9" s="24" t="s">
        <v>57</v>
      </c>
      <c r="D9" s="24" t="s">
        <v>119</v>
      </c>
      <c r="E9" s="24" t="s">
        <v>120</v>
      </c>
      <c r="F9" s="24" t="s">
        <v>58</v>
      </c>
      <c r="G9" s="24" t="s">
        <v>59</v>
      </c>
    </row>
    <row r="10" spans="1:8" ht="15.75" customHeight="1" x14ac:dyDescent="0.3">
      <c r="A10" s="11" t="s">
        <v>29</v>
      </c>
      <c r="B10" s="99">
        <v>761473.21</v>
      </c>
      <c r="C10" s="99">
        <v>1023092.62</v>
      </c>
      <c r="D10" s="99">
        <f>+E10-C10</f>
        <v>94552.599999999977</v>
      </c>
      <c r="E10" s="99">
        <f>1117618.65+26.57</f>
        <v>1117645.22</v>
      </c>
      <c r="F10" s="99">
        <f t="shared" ref="F10:G11" si="0">+F11</f>
        <v>737225.00099542097</v>
      </c>
      <c r="G10" s="99">
        <f t="shared" si="0"/>
        <v>737225.00099542097</v>
      </c>
    </row>
    <row r="11" spans="1:8" ht="15.75" customHeight="1" x14ac:dyDescent="0.3">
      <c r="A11" s="11" t="s">
        <v>68</v>
      </c>
      <c r="B11" s="99">
        <f>+B10</f>
        <v>761473.21</v>
      </c>
      <c r="C11" s="99">
        <f>+C10</f>
        <v>1023092.62</v>
      </c>
      <c r="D11" s="99">
        <f t="shared" ref="D11:D12" si="1">+E11-C11</f>
        <v>94552.599999999977</v>
      </c>
      <c r="E11" s="99">
        <f>+E10</f>
        <v>1117645.22</v>
      </c>
      <c r="F11" s="99">
        <f t="shared" si="0"/>
        <v>737225.00099542097</v>
      </c>
      <c r="G11" s="99">
        <f t="shared" si="0"/>
        <v>737225.00099542097</v>
      </c>
    </row>
    <row r="12" spans="1:8" x14ac:dyDescent="0.25">
      <c r="A12" s="18" t="s">
        <v>69</v>
      </c>
      <c r="B12" s="99">
        <f>+B11</f>
        <v>761473.21</v>
      </c>
      <c r="C12" s="99">
        <f>+C11</f>
        <v>1023092.62</v>
      </c>
      <c r="D12" s="99">
        <f t="shared" si="1"/>
        <v>94552.599999999977</v>
      </c>
      <c r="E12" s="99">
        <f>+E11</f>
        <v>1117645.22</v>
      </c>
      <c r="F12" s="100">
        <f>5554621.77/7.5345</f>
        <v>737225.00099542097</v>
      </c>
      <c r="G12" s="100">
        <f>5554621.77/7.5345</f>
        <v>737225.00099542097</v>
      </c>
    </row>
    <row r="13" spans="1:8" ht="14.45" hidden="1" x14ac:dyDescent="0.3">
      <c r="A13" s="17" t="s">
        <v>30</v>
      </c>
      <c r="B13" s="8"/>
      <c r="C13" s="9"/>
      <c r="D13" s="8">
        <v>929222</v>
      </c>
      <c r="E13" s="8"/>
      <c r="F13" s="8"/>
      <c r="G13" s="9"/>
      <c r="H13" s="9"/>
    </row>
    <row r="14" spans="1:8" ht="14.45" hidden="1" x14ac:dyDescent="0.3">
      <c r="A14" s="11" t="s">
        <v>31</v>
      </c>
      <c r="B14" s="8"/>
      <c r="C14" s="9"/>
      <c r="D14" s="8">
        <v>929222</v>
      </c>
      <c r="E14" s="8"/>
      <c r="F14" s="8"/>
      <c r="G14" s="9"/>
      <c r="H14" s="10"/>
    </row>
    <row r="15" spans="1:8" ht="26.45" hidden="1" x14ac:dyDescent="0.3">
      <c r="A15" s="19" t="s">
        <v>32</v>
      </c>
      <c r="B15" s="8"/>
      <c r="C15" s="9"/>
      <c r="D15" s="8">
        <v>929222</v>
      </c>
      <c r="E15" s="8"/>
      <c r="F15" s="8"/>
      <c r="G15" s="9"/>
      <c r="H15" s="10"/>
    </row>
  </sheetData>
  <mergeCells count="4">
    <mergeCell ref="A1:H1"/>
    <mergeCell ref="A3:H3"/>
    <mergeCell ref="A5:H5"/>
    <mergeCell ref="A7:H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A2" sqref="A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11" width="14.5703125" customWidth="1"/>
  </cols>
  <sheetData>
    <row r="1" spans="1:11" ht="42" customHeight="1" x14ac:dyDescent="0.3">
      <c r="A1" s="103" t="str">
        <f>+SAŽETAK!A1</f>
        <v>II. IZMJENE I DOPUNE FINANCIJSKOG PLANA INDUSTRIJSKO-OBRTNIČKE ŠKOLE PULA
ZA 2023. I PROJEKCIJA ZA 2024. I 2025. GODINU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8" customHeight="1" x14ac:dyDescent="0.3">
      <c r="A2" s="4"/>
      <c r="B2" s="4"/>
      <c r="C2" s="4"/>
      <c r="D2" s="4"/>
      <c r="E2" s="4"/>
      <c r="F2" s="4"/>
      <c r="G2" s="4"/>
      <c r="H2" s="28"/>
      <c r="I2" s="28"/>
      <c r="J2" s="4"/>
      <c r="K2" s="4"/>
    </row>
    <row r="3" spans="1:11" ht="15.75" x14ac:dyDescent="0.25">
      <c r="A3" s="103" t="s">
        <v>37</v>
      </c>
      <c r="B3" s="103"/>
      <c r="C3" s="103"/>
      <c r="D3" s="103"/>
      <c r="E3" s="103"/>
      <c r="F3" s="103"/>
      <c r="G3" s="103"/>
      <c r="H3" s="103"/>
      <c r="I3" s="103"/>
      <c r="J3" s="104"/>
      <c r="K3" s="104"/>
    </row>
    <row r="4" spans="1:11" ht="17.45" x14ac:dyDescent="0.3">
      <c r="A4" s="4"/>
      <c r="B4" s="4"/>
      <c r="C4" s="4"/>
      <c r="D4" s="4"/>
      <c r="E4" s="4"/>
      <c r="F4" s="4"/>
      <c r="G4" s="4"/>
      <c r="H4" s="28"/>
      <c r="I4" s="28"/>
      <c r="J4" s="5"/>
      <c r="K4" s="5"/>
    </row>
    <row r="5" spans="1:11" ht="18" customHeight="1" x14ac:dyDescent="0.25">
      <c r="A5" s="103" t="s">
        <v>33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7.45" x14ac:dyDescent="0.3">
      <c r="A6" s="4"/>
      <c r="B6" s="4"/>
      <c r="C6" s="4"/>
      <c r="D6" s="4"/>
      <c r="E6" s="4"/>
      <c r="F6" s="4"/>
      <c r="G6" s="4"/>
      <c r="H6" s="28"/>
      <c r="I6" s="28"/>
      <c r="J6" s="5"/>
      <c r="K6" s="5"/>
    </row>
    <row r="7" spans="1:11" ht="25.5" x14ac:dyDescent="0.25">
      <c r="A7" s="24" t="s">
        <v>16</v>
      </c>
      <c r="B7" s="23" t="s">
        <v>17</v>
      </c>
      <c r="C7" s="23" t="s">
        <v>18</v>
      </c>
      <c r="D7" s="23" t="s">
        <v>67</v>
      </c>
      <c r="E7" s="23" t="s">
        <v>121</v>
      </c>
      <c r="F7" s="24" t="s">
        <v>57</v>
      </c>
      <c r="G7" s="24" t="s">
        <v>119</v>
      </c>
      <c r="H7" s="24" t="s">
        <v>120</v>
      </c>
      <c r="I7" s="24" t="s">
        <v>58</v>
      </c>
      <c r="J7" s="24" t="s">
        <v>59</v>
      </c>
    </row>
    <row r="8" spans="1:11" ht="25.5" x14ac:dyDescent="0.25">
      <c r="A8" s="11">
        <v>8</v>
      </c>
      <c r="B8" s="11"/>
      <c r="C8" s="11"/>
      <c r="D8" s="11" t="s">
        <v>34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1" x14ac:dyDescent="0.25">
      <c r="A9" s="11"/>
      <c r="B9" s="16">
        <v>84</v>
      </c>
      <c r="C9" s="16"/>
      <c r="D9" s="16" t="s">
        <v>41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1" ht="25.5" x14ac:dyDescent="0.25">
      <c r="A10" s="12"/>
      <c r="B10" s="12"/>
      <c r="C10" s="13">
        <v>81</v>
      </c>
      <c r="D10" s="18" t="s">
        <v>42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</row>
    <row r="11" spans="1:11" ht="26.45" x14ac:dyDescent="0.3">
      <c r="A11" s="14">
        <v>5</v>
      </c>
      <c r="B11" s="15"/>
      <c r="C11" s="15"/>
      <c r="D11" s="29" t="s">
        <v>35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</row>
    <row r="12" spans="1:11" ht="26.45" x14ac:dyDescent="0.3">
      <c r="A12" s="16"/>
      <c r="B12" s="16">
        <v>54</v>
      </c>
      <c r="C12" s="16"/>
      <c r="D12" s="30" t="s">
        <v>43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1" x14ac:dyDescent="0.25">
      <c r="A13" s="16"/>
      <c r="B13" s="16"/>
      <c r="C13" s="13">
        <v>11</v>
      </c>
      <c r="D13" s="13" t="s">
        <v>20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1" ht="14.45" x14ac:dyDescent="0.3">
      <c r="A14" s="16"/>
      <c r="B14" s="16"/>
      <c r="C14" s="13">
        <v>31</v>
      </c>
      <c r="D14" s="13" t="s">
        <v>44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</sheetData>
  <mergeCells count="3">
    <mergeCell ref="A1:K1"/>
    <mergeCell ref="A3:K3"/>
    <mergeCell ref="A5:K5"/>
  </mergeCells>
  <pageMargins left="0.7" right="0.7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 Račun prihoda i rashoda-KN</vt:lpstr>
      <vt:lpstr>POSEBNI DIO</vt:lpstr>
      <vt:lpstr>POSEBNI DIO-KN</vt:lpstr>
      <vt:lpstr>Rashodi-funkc.klas.</vt:lpstr>
      <vt:lpstr>Račun financ.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User</cp:lastModifiedBy>
  <cp:lastPrinted>2023-12-19T09:29:57Z</cp:lastPrinted>
  <dcterms:created xsi:type="dcterms:W3CDTF">2022-08-12T12:51:27Z</dcterms:created>
  <dcterms:modified xsi:type="dcterms:W3CDTF">2023-12-19T11:06:44Z</dcterms:modified>
</cp:coreProperties>
</file>